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488" yWindow="816" windowWidth="6168" windowHeight="6336" activeTab="3"/>
  </bookViews>
  <sheets>
    <sheet name="Прил.1 Доходы 2014" sheetId="1" r:id="rId1"/>
    <sheet name="Прил. 2 Функциональная 2014" sheetId="2" r:id="rId2"/>
    <sheet name="Прил.3 Ведомств. 2014" sheetId="3" r:id="rId3"/>
    <sheet name="Прил. 4 Мун. прогр.  2014" sheetId="4" r:id="rId4"/>
    <sheet name="Прил. 5 Источники_2014" sheetId="5" r:id="rId5"/>
  </sheets>
  <definedNames>
    <definedName name="_xlnm.Print_Area" localSheetId="1">'Прил. 2 Функциональная 2014'!$A$1:$H$1196</definedName>
    <definedName name="_xlnm.Print_Area" localSheetId="3">'Прил. 4 Мун. прогр.  2014'!$A$1:$D$618</definedName>
    <definedName name="_xlnm.Print_Area" localSheetId="4">'Прил. 5 Источники_2014'!$A$1:$C$98</definedName>
    <definedName name="_xlnm.Print_Area" localSheetId="0">'Прил.1 Доходы 2014'!$A$1:$C$229</definedName>
    <definedName name="_xlnm.Print_Area" localSheetId="2">'Прил.3 Ведомств. 2014'!$A$1:$G$1207</definedName>
  </definedNames>
  <calcPr fullCalcOnLoad="1"/>
</workbook>
</file>

<file path=xl/comments2.xml><?xml version="1.0" encoding="utf-8"?>
<comments xmlns="http://schemas.openxmlformats.org/spreadsheetml/2006/main">
  <authors>
    <author>Bayrakov</author>
    <author>Nikolaeva</author>
  </authors>
  <commentList>
    <comment ref="H96" authorId="0">
      <text>
        <r>
          <rPr>
            <b/>
            <sz val="10"/>
            <rFont val="Tahoma"/>
            <family val="2"/>
          </rPr>
          <t>ФЗ "О присяжных заседателях…"</t>
        </r>
      </text>
    </comment>
    <comment ref="F407" authorId="1">
      <text>
        <r>
          <rPr>
            <b/>
            <sz val="8"/>
            <rFont val="Tahoma"/>
            <family val="2"/>
          </rPr>
          <t>Nikolaeva:</t>
        </r>
        <r>
          <rPr>
            <sz val="8"/>
            <rFont val="Tahoma"/>
            <family val="2"/>
          </rPr>
          <t xml:space="preserve">
ВКД-10120; ливневка 3000
</t>
        </r>
      </text>
    </comment>
    <comment ref="F803" authorId="0">
      <text>
        <r>
          <rPr>
            <b/>
            <sz val="8"/>
            <rFont val="Tahoma"/>
            <family val="2"/>
          </rPr>
          <t>Содержание памятников</t>
        </r>
      </text>
    </comment>
    <comment ref="H803" authorId="0">
      <text>
        <r>
          <rPr>
            <b/>
            <sz val="8"/>
            <rFont val="Tahoma"/>
            <family val="2"/>
          </rPr>
          <t>Содержание памятников</t>
        </r>
      </text>
    </comment>
  </commentList>
</comments>
</file>

<file path=xl/comments3.xml><?xml version="1.0" encoding="utf-8"?>
<comments xmlns="http://schemas.openxmlformats.org/spreadsheetml/2006/main">
  <authors>
    <author>Bayrakov</author>
    <author>Nikolaeva</author>
  </authors>
  <commentList>
    <comment ref="G503" authorId="0">
      <text>
        <r>
          <rPr>
            <b/>
            <sz val="8"/>
            <rFont val="Tahoma"/>
            <family val="2"/>
          </rPr>
          <t>Содержание памятников</t>
        </r>
      </text>
    </comment>
    <comment ref="G894" authorId="1">
      <text>
        <r>
          <rPr>
            <b/>
            <sz val="8"/>
            <rFont val="Tahoma"/>
            <family val="2"/>
          </rPr>
          <t>Nikolaeva:</t>
        </r>
        <r>
          <rPr>
            <sz val="8"/>
            <rFont val="Tahoma"/>
            <family val="2"/>
          </rPr>
          <t xml:space="preserve">
ВКД-10120; ливневка 3000
</t>
        </r>
      </text>
    </comment>
  </commentList>
</comments>
</file>

<file path=xl/comments5.xml><?xml version="1.0" encoding="utf-8"?>
<comments xmlns="http://schemas.openxmlformats.org/spreadsheetml/2006/main">
  <authors>
    <author>Nikolaeva</author>
  </authors>
  <commentList>
    <comment ref="C39" authorId="0">
      <text>
        <r>
          <rPr>
            <b/>
            <sz val="8"/>
            <rFont val="Tahoma"/>
            <family val="2"/>
          </rPr>
          <t>Nikolaeva:</t>
        </r>
        <r>
          <rPr>
            <sz val="8"/>
            <rFont val="Tahoma"/>
            <family val="2"/>
          </rPr>
          <t xml:space="preserve">
Статья 38</t>
        </r>
      </text>
    </comment>
  </commentList>
</comments>
</file>

<file path=xl/sharedStrings.xml><?xml version="1.0" encoding="utf-8"?>
<sst xmlns="http://schemas.openxmlformats.org/spreadsheetml/2006/main" count="14783" uniqueCount="1531">
  <si>
    <t>Оплата жилого помещения и коммунальных услуг   малоимущим семьям, оказавшимся в трудной жизненной ситуации, которую они не могут преодолеть самостоятельно по независящим от них причинам, не имеющих возможности предоставления полного пакета документов для назначения субсидии и имеющие среднедушевой доход ниже величины прожиточного минимума в Московской области (не попадающих под действие Постановления Правительства РФ от 14 декабря 2005 года № 761 «О предоставлении субсидий на оплату жилого помещения и коммунальных услуг»*</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</si>
  <si>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t>
  </si>
  <si>
    <t>Исполнение судебных  актов</t>
  </si>
  <si>
    <t>Муниципальная программа "Экология и окружающая среда городского округа Домодедово на 2014-2016 годы"</t>
  </si>
  <si>
    <t>Выплата единовременной материальной помощи участникам обороны Ленинграда*</t>
  </si>
  <si>
    <t>Муниципальная  программа "Предпринимательство городского округа Домодедово на 2014-2016 годы"</t>
  </si>
  <si>
    <t>Муниципальная  программа "Эффективная власть"</t>
  </si>
  <si>
    <t>12 Ж 2203</t>
  </si>
  <si>
    <t>Итого по муниципальным программам</t>
  </si>
  <si>
    <t>Наименование групп, подгрупп, статей, подстатей, элементов, программ (подпрограмм), кодов экономической классификации источников внутреннего финансирования дефицитов бюджетов</t>
  </si>
  <si>
    <t>Управление  здравоохранения</t>
  </si>
  <si>
    <t>Привлечение прочих источников внутреннего финансирования дефицитов бюджетов</t>
  </si>
  <si>
    <t>017 01 06 06 00 04 0000 710</t>
  </si>
  <si>
    <t>99 0 6082</t>
  </si>
  <si>
    <t>Выплата единовременной материальной помощи воинам-афганцам, семьям погибших участников Афганских событий и локальных войн*</t>
  </si>
  <si>
    <t>01 0 0000</t>
  </si>
  <si>
    <t>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на 2014-2016 годы"</t>
  </si>
  <si>
    <t>01 1 0000</t>
  </si>
  <si>
    <t>02 3 8441</t>
  </si>
  <si>
    <t>Подпрограмма "Развитие малого и среднего предпринимательства в городском округе Домодедово на 2014-2016 годы"</t>
  </si>
  <si>
    <t>Муниципальная  программа "Экология и окружающая среда городского округа Домодедово на 2014-2016 годы"</t>
  </si>
  <si>
    <t>100</t>
  </si>
  <si>
    <t>Муниципальная  программа "Архитектура и градостроительство городского округа Домодедово на 2014-2016 годы"</t>
  </si>
  <si>
    <t>Расходы бюджета городского округа на 2014 год</t>
  </si>
  <si>
    <t>Выплата единовременной материальной помощи гражданам пострадавшим от политических репрессий*</t>
  </si>
  <si>
    <t>Выплата единовременной материальной помощи участникам Курской битвы (включая вдов)*</t>
  </si>
  <si>
    <t xml:space="preserve">ЗДРАВООХРАНЕНИЕ  </t>
  </si>
  <si>
    <t>ЗДРАВООХРАНЕНИЕ</t>
  </si>
  <si>
    <t>Субсидия бюджетным учреждениям</t>
  </si>
  <si>
    <t>Целевая субсидия на проведение мероприятий в области спорта,  физической культуры, туризма</t>
  </si>
  <si>
    <t>Приложение № 3</t>
  </si>
  <si>
    <t>Закупка товаров, работ и услуг для муниципальных нужд</t>
  </si>
  <si>
    <t>Целевые субсидии бюджетным  учреждениям, в том числе:</t>
  </si>
  <si>
    <t>Муниципальная программа "Культура городского округа Домодедово на 2014-2016 годы"</t>
  </si>
  <si>
    <t>Расходы на выплаты персоналу государственных (муниципальных) органов</t>
  </si>
  <si>
    <t>04 1 2615</t>
  </si>
  <si>
    <t>Подпрограмма "Обеспечение работоспособности средств вычислительной техники Администрации городского округа Домодедово и ее органов на 2014-2016 годы"</t>
  </si>
  <si>
    <t xml:space="preserve">Целевая субсидия автономным  учреждениям на мероприятия по организации оздоровительной кампании детей </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</si>
  <si>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</si>
  <si>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1 16 06000 01 0000 140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</si>
  <si>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</si>
  <si>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1 16 08000 01 0000 140</t>
  </si>
  <si>
    <t>Денежные взыскания (штрафы) за нарушение бюджетного законодательства РФ</t>
  </si>
  <si>
    <t>1 16 18000 00 0000 140</t>
  </si>
  <si>
    <t>Денежные взыскания (штрафы) за нарушение бюджетного законодательства  (в части  бюджетов городских округов)</t>
  </si>
  <si>
    <t>1 16 18040 04 0000 140</t>
  </si>
  <si>
    <t>Оплата жилого помещения и коммунальных услуг  малоимущим семьям, оказавшимся в трудной жизненной ситуации, которую они не могут преодолеть самостоятельно по независящим от них причинам, не имеющих возможности предоставления полного пакета документов для назначения субсидии и имеющие среднедушевой доход ниже величины прожиточного минимума в Московской области (не попадающих под действие Постановления Правительства РФ от 14 декабря 2005 года № 761 «О предоставлении субсидий на оплату жилого помещения и коммунальных услуг»*</t>
  </si>
  <si>
    <t>Другие вопросы в области национальной безопасности и правоохранительной деятельности</t>
  </si>
  <si>
    <t>Другие вопросы в области национальной экономики</t>
  </si>
  <si>
    <t>11</t>
  </si>
  <si>
    <t>Увеличение прочих остатков денежных средств бюджетов</t>
  </si>
  <si>
    <t>Уменьшение прочих остатков средств бюджетов</t>
  </si>
  <si>
    <t>Закупка товаров, работ , услуг в целях капитального ремонта муниципального имущества</t>
  </si>
  <si>
    <t>Подпрограмма "Молодое поколение городского округа Домодедово на 2014-2016 годы"</t>
  </si>
  <si>
    <t>05 0 0000</t>
  </si>
  <si>
    <t>05 2 0000</t>
  </si>
  <si>
    <t>05 2 8431</t>
  </si>
  <si>
    <t>Подпрограмма "Развитие физической культуры и спорта в городском округе Домодедово на 2014-2016 годы"</t>
  </si>
  <si>
    <t>05 1 0000</t>
  </si>
  <si>
    <t>05 1 8482</t>
  </si>
  <si>
    <t>02 2 8423</t>
  </si>
  <si>
    <t>1 16 33000 00 0000 140</t>
  </si>
  <si>
    <t>расходы для осуществления отдельных государственных полномочий</t>
  </si>
  <si>
    <t>04 1 2623</t>
  </si>
  <si>
    <t>04 1 6141</t>
  </si>
  <si>
    <t>Подпрограмма "Формирование доступной среды на 2014-2016 годы"</t>
  </si>
  <si>
    <t>Софинансирование расходов за счет средств субсидии из областного бюджета на организацию деятельности МБУ «МФЦ»  в рамках подпрограммы «Снижение административных барьеров, повышение качества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 государственной программы Московской области «Эффективная власть»</t>
  </si>
  <si>
    <t>Целевая субсидия на ограждение контейнерной площадки, расположенной по адресу: д.Авдотьино, д.16</t>
  </si>
  <si>
    <t>Целевая субсидия на приобретение сортировочных урн в количестве 23 шт.</t>
  </si>
  <si>
    <t>Целевая субсидия на приобретение и установку цветочниц бетонных в количестве 20 шт.</t>
  </si>
  <si>
    <t>Денежные взыскания (штрафы) за нарушение законодательства РФ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</si>
  <si>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1 16 25000 00 0000 140</t>
  </si>
  <si>
    <t>Денежные взыскания (штрафы) за нарушение законодательства РФ о недрах</t>
  </si>
  <si>
    <t>1 16 25010 01 0000 140</t>
  </si>
  <si>
    <t>Денежные взыскания (штрафы) за нарушение законодательства  об охране и использовании животного мира</t>
  </si>
  <si>
    <t>1 16 25030 01 0000 140</t>
  </si>
  <si>
    <t>Денежные взыскания (штрафы) за нарушение законодательства об экологической экспертизе</t>
  </si>
  <si>
    <t>1 16 25040 01 0000 140</t>
  </si>
  <si>
    <t>Денежные взыскания (штрафы) за нарушение законодательства в области охраны окружающей среды</t>
  </si>
  <si>
    <t>1 16 25050 01 0000 140</t>
  </si>
  <si>
    <t>ОХРАНА ОКРУЖАЮЩЕЙ СРЕДЫ</t>
  </si>
  <si>
    <t>Другие вопросы в области образования</t>
  </si>
  <si>
    <t>Телевидение и радиовещание</t>
  </si>
  <si>
    <t>Периодическая печать и издательства</t>
  </si>
  <si>
    <t>Субсидия бюджетным учреждениям на иные цели</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</si>
  <si>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</si>
  <si>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1 16 33040 04 0000 140</t>
  </si>
  <si>
    <t>Функционирование Правительства РФ, высших исполнительных органов государственной власти субъектов РФ, местных администраций</t>
  </si>
  <si>
    <t>612</t>
  </si>
  <si>
    <t>Финансирование расходов на оплату труда работников школ- детских садов, школ начальных, неполных средних и средних,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t>
  </si>
  <si>
    <t>Софинансирование расходов на создание в общеобразовательных организациях, расположенных в сельской местности, условий для занятий физической культурой и спортом в соответствии с государственной программой Московской области "Образование Подмосковья" на 2014-2018 гг.</t>
  </si>
  <si>
    <t>Целевая субсидия на ремонт спортзала в МБОУ ДЮСШ "Олимп"</t>
  </si>
  <si>
    <t>03 4 7121</t>
  </si>
  <si>
    <t>03 4 71200</t>
  </si>
  <si>
    <t>Технологическое присоединение к электрическим сетям МАОУ Белостолбовская СОШ</t>
  </si>
  <si>
    <t>Целевая субсидия на внедрение единого электронного читательского билета в МБУК "ЦБС"</t>
  </si>
  <si>
    <t>Целевая субсидия на проведение капитального ремонта, ремонта, ремонта внутренних инженерных сетей МБУ "ЦФКС "Горизонт"</t>
  </si>
  <si>
    <t xml:space="preserve">Предоставление субсидий бюджетным, автономным учреждениям и иным некоммерческим организациям, в том числе </t>
  </si>
  <si>
    <t>Целевая субсидия на перерасчет локальных смет на общестроительные работы по строительству ФОК-2 в составе ГС "Авангард"</t>
  </si>
  <si>
    <t>Целевая субсидия на приобретение мебели в  МАУК "ГПКиО "Елочки"</t>
  </si>
  <si>
    <t>Целевая субсидия на устройство сквера "Домодедово в миниатюре" в  МАУК "ГПКиО "Елочки"</t>
  </si>
  <si>
    <t>Целевая субсидия на установку системы видеонаблюдения в  МАУК "ГПКиО "Елочки"</t>
  </si>
  <si>
    <t>Целевая субсидия на изготовление и монтаж рекламных конструкций для МАУК "ГПКиО "Елочки"</t>
  </si>
  <si>
    <t>Целевая субсидия на проведение государственной экспертизы ПСД на газоснабжение офисного здания МАУК ГПКиО "Елочки"</t>
  </si>
  <si>
    <t>Целевая субсидия на топогеодезические работы в МАУК "ГПКиО "Елочки"</t>
  </si>
  <si>
    <t>Целевая субсидия на выполнение работ по благоустройству территории МАУК "ГПКиО "Елочки"</t>
  </si>
  <si>
    <t>Целевая субсидия на проведение мероприятий с обучающимися, воспитанниками образовательных организаций и педагогическими работниками</t>
  </si>
  <si>
    <t>Целевая субсидия на проведение социально-психологического тестирования учащихся старших классов на предмет распространенности в общеобразовательных учреждениях факторов риска немедицинского употребления учащимися психоактивных веществ</t>
  </si>
  <si>
    <t>Выполнение работ по прокладке газопровода низкого давления для офисного здания МАУК "ГПКиО "Елочки", авторский и технический надзор</t>
  </si>
  <si>
    <t xml:space="preserve">Субсидии бюджетам городских округов на реализацию федеральных целевых программ
</t>
  </si>
  <si>
    <t>Государственная программа Московской области "Развитие жилищно-коммунального хозяйства на 2014-2018 годы"</t>
  </si>
  <si>
    <t>Субвенции бюджетам городских округов на выполнение передаваемых полномочий субъектов РФ</t>
  </si>
  <si>
    <t>2 02 03024 04 0000 151</t>
  </si>
  <si>
    <t>Целевая субсидия на изготовление и установку мемориальной доски воинам умершим от ран в годы Великой отечественной Войны, в госпитале, находившемся на территории психиатрической больницы имени О.В. Кербикова</t>
  </si>
  <si>
    <t>Дошкольное образование</t>
  </si>
  <si>
    <t>Лесное хозяйство</t>
  </si>
  <si>
    <t>Подпрограмма "Развитие дополнительного образования, формирование современной системы воспитания, в том числе профилактика ассоциального поведения несовершеннолетних, мероприятия в городском округе Домодедово на 2014-2016 годы"</t>
  </si>
  <si>
    <t>Мероприятия по гражданской обороне</t>
  </si>
  <si>
    <t>04</t>
  </si>
  <si>
    <t>ОБРАЗОВАНИЕ</t>
  </si>
  <si>
    <t>Программа "Социальная защита населения городского округа Домодедово на 2014-2016 годы"</t>
  </si>
  <si>
    <t>01 4 6207</t>
  </si>
  <si>
    <t>03 3 5026</t>
  </si>
  <si>
    <t>Целевая субсидия на реализацию условий по созданию в общеобразовательных организациях, расположенных в сельской местности, условий для занятий физической культурой и спортом</t>
  </si>
  <si>
    <t>Предоставление субсидий бюджетным и автономным учреждениям</t>
  </si>
  <si>
    <t>03 2 5097</t>
  </si>
  <si>
    <t xml:space="preserve">Предоставление субсидий бюджетным и автономным учреждениям </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</si>
  <si>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</si>
  <si>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2 02 02089 00 0000 151</t>
  </si>
  <si>
    <t>Субсидии бюджетам городских округов на обеспечение мероприятий по капитальному ремонту многоквартирных домов за счет средств бюджетов</t>
  </si>
  <si>
    <t>2 02 02089 04 0001 151</t>
  </si>
  <si>
    <t>Субсидии бюджетам на реализацию комплексных программ поддержки развития дошкольных образовательных учреждений в субъектах Российской Федерации</t>
  </si>
  <si>
    <t>2 02 02141 00 0000 151</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</si>
  <si>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</si>
  <si>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Целевая субсидия на капитальный и текущий ремонт, приобретение мебели,оборудования, материалов и основных средств, технологическое присоединение дополнительной мощности, устройство подвесного медицинского потолка, установка кнопок вызова медицинского персонала, противопожарные мероприятия, ремонт и устройство контейнерных площадок, установка контейнерных бачков, установка систем контроля доступа в отделения, ремонт автоматики распашных ворот, капитальный ремонт фасада перехода терапевтического корпуса</t>
  </si>
  <si>
    <t>Целевая субсидия на разработку проектной документации на капитальный ремонт системы вентиляции</t>
  </si>
  <si>
    <t>Налог на имущество организаций по имуществу, входящему в Единую систему газоснабжения</t>
  </si>
  <si>
    <t>1 06 02020 02 0000 110</t>
  </si>
  <si>
    <t>Земельный налог</t>
  </si>
  <si>
    <t>1 06 06000 00 0000 110</t>
  </si>
  <si>
    <t>Земельный налог, взимаемый по ставкам, установленным в соответствии с подпунктом 1 пункта 1 статьи 394 НК РФ</t>
  </si>
  <si>
    <t>1 06 06010 00 0000 110</t>
  </si>
  <si>
    <t>Земельный налог, взимаемый по ставкам, установленным в соответствии с подпунктом 1 пункта 1 статьи 394 НК РФ и применяемым к объектам налогообложения, расположенным в границах городских округов</t>
  </si>
  <si>
    <t>Пособия, компенсации, меры социальной поддержки по публичным нормативным обязательствам</t>
  </si>
  <si>
    <t>313</t>
  </si>
  <si>
    <t>15 0 0000</t>
  </si>
  <si>
    <t>15 1 0000</t>
  </si>
  <si>
    <t>ВОЗВРАТ ОСТАТКОВ СУБСИДИЙ, СУБВЕНЦИЙ И ИНЫХ МЕЖБЮДЖЕТНЫХ ТРАНСФЕРТОВ, ИМЕЮЩИХ ЦЕЛЕВОЕ НАЗНАЧЕНИЕ, ПРОШЛЫХ ЛЕТ</t>
  </si>
  <si>
    <t>2 19 00000 00 0000 000</t>
  </si>
  <si>
    <t>2 02 02215 00 0000 151</t>
  </si>
  <si>
    <t>Подпрограмма "Капитальный ремонт общего имущества в многоквартирных домах, расположенных на территории городского округа Домодедово на 2014-2016 годы"</t>
  </si>
  <si>
    <t>10 4 0000</t>
  </si>
  <si>
    <t>10 4 2514</t>
  </si>
  <si>
    <t>10 4 2517</t>
  </si>
  <si>
    <t>Подпрограмма "Модернизация объектов коммунальной инфраструктуры на 2014-2016 годы"</t>
  </si>
  <si>
    <t xml:space="preserve">Субсидии юридическим лицам (кроме муниципальных учреждений) и физическим лицам - производителям товаров, работ, услуг -  НПВК "ВКВ" </t>
  </si>
  <si>
    <t>10 2 2506</t>
  </si>
  <si>
    <t>10 5 2001</t>
  </si>
  <si>
    <t>10 5 2002</t>
  </si>
  <si>
    <t>10 5 2004</t>
  </si>
  <si>
    <t>Прочие мероприятия по благоустройству и озеленению мест общего пользования</t>
  </si>
  <si>
    <t>10 5 2005</t>
  </si>
  <si>
    <t>10 4 2518</t>
  </si>
  <si>
    <t>03 3 6224</t>
  </si>
  <si>
    <t>017 01 06 05 01 04 0000 540</t>
  </si>
  <si>
    <t>Предоставление  бюджетных кредитов  внутри страны в валюте Российской Федерации</t>
  </si>
  <si>
    <t>Отдельные мероприятия в области национальной экономики (транспортировка в морг умерших, не имеющих супруга, близких и иных родственников, а также умерших других категорий для производства судебно медицинской экспертизы)</t>
  </si>
  <si>
    <t>Прокладка теплотрассы к модульным зданиям на территории лагеря им. Талалихина</t>
  </si>
  <si>
    <t>Доходы  от продажи квартир, находящихся в собственности городских округов</t>
  </si>
  <si>
    <t>1 14 01040 04 0000 410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</si>
  <si>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</si>
  <si>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1 14 02000 00 0000 000</t>
  </si>
  <si>
    <t>1 14 02040 04 0000 410</t>
  </si>
  <si>
    <t>Строительство скважины питьевой воды с. Павловское</t>
  </si>
  <si>
    <t>Целевая субсидия на приобретение основных средств, оборудования, комплектующих, запасных частей, моющих средств и инвентаря</t>
  </si>
  <si>
    <t>Целевая субсидия на разработку ПСД на капитальный ремонт входной группы поликлиники "Заря Подмосковья" МБУЗ "ДЦГБ"</t>
  </si>
  <si>
    <t>Субвенции бюджетам муниципальных образований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</si>
  <si>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2 02 03119 00 0000 151</t>
  </si>
  <si>
    <t>Закупка товаров, работ услуг в области информационно - коммуникационных технологий</t>
  </si>
  <si>
    <t>Целевая субсидия на аттестацию рабочих мест</t>
  </si>
  <si>
    <t>Рз</t>
  </si>
  <si>
    <t>ПР</t>
  </si>
  <si>
    <t>ЦСР</t>
  </si>
  <si>
    <t>ВР</t>
  </si>
  <si>
    <t>01</t>
  </si>
  <si>
    <t>000 01 06 05 00 00 0000 000</t>
  </si>
  <si>
    <t>Судебная система</t>
  </si>
  <si>
    <t xml:space="preserve">Другие вопросы в области здравоохранения </t>
  </si>
  <si>
    <t>Администрация городского округа</t>
  </si>
  <si>
    <r>
      <t>Строительство «Физкультурно-оздоровительного комплекса № 2» в составе городского стадиона «Авангард» по адресу: Московская область, г. Домодедово, микрорайон Северный,  ул. 2-я Коммунистическая, д. 2 (2-я очередь строительства)</t>
    </r>
    <r>
      <rPr>
        <sz val="9"/>
        <rFont val="Times New Roman Cyr"/>
        <family val="1"/>
      </rPr>
      <t xml:space="preserve"> авторский и технический надзор </t>
    </r>
  </si>
  <si>
    <t xml:space="preserve">000 01 01 00 00 00 0000 000 </t>
  </si>
  <si>
    <t>14</t>
  </si>
  <si>
    <t>ВСЕГО:</t>
  </si>
  <si>
    <t xml:space="preserve">Целевая субсидия на приобретение материалов и оборудования </t>
  </si>
  <si>
    <t>Получение бюджетных кредитов от  других бюджетов бюджетной системы Российской Федерации городским округом в валюте Российской Федерации</t>
  </si>
  <si>
    <t xml:space="preserve">Целевые субсидии бюджетным учреждениям: </t>
  </si>
  <si>
    <t>Погашение кредитов, предоставленных кредитными организациями в валюте Российской Федерации</t>
  </si>
  <si>
    <t>02 0 0000</t>
  </si>
  <si>
    <t>Подпрограмма "Развитие дополнительного образования в сфере культуры и искусства в городском округе Домодедово на 2014-2016 годы"</t>
  </si>
  <si>
    <t>795 01 52</t>
  </si>
  <si>
    <t>02 4 8450</t>
  </si>
  <si>
    <t>01 0 000</t>
  </si>
  <si>
    <t>12 3 0000</t>
  </si>
  <si>
    <t>12 3 2099</t>
  </si>
  <si>
    <t>16 2 2099</t>
  </si>
  <si>
    <t>ДЕФИЦИТА  БЮДЖЕТА ГОРОДСКОГО ОКРУГА ДОМОДЕДОВО НА 2014 ГОД</t>
  </si>
  <si>
    <t>Подпрограмма "Обеспечение капитального ремонта, содержания и ремонта автомобильных дорог, мостов муниципального значения на 2014-2016 годы"</t>
  </si>
  <si>
    <t>14 1 0000</t>
  </si>
  <si>
    <t>Подпрограмма "Обеспечение безопасности дорожного движения на территории городского округа Домодедово на 2014-2016 годы"</t>
  </si>
  <si>
    <t>14 2 0000</t>
  </si>
  <si>
    <t>14 1 2520</t>
  </si>
  <si>
    <t>14 2 2512</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</si>
  <si>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Фонд содействия реформированию жилищно-коммунального хозяйства</t>
  </si>
  <si>
    <t>2 02 02088 00 0000 151</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</si>
  <si>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</si>
  <si>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2 02 02088 04 0001 151</t>
  </si>
  <si>
    <t>Прокладка магистральных трубопроводов от котельной КШФ до тепловой камеры у жилого дома № 29 по ул. Текстильщиков</t>
  </si>
  <si>
    <t xml:space="preserve">Целевая субсидия на установку узлов учета коммунальных ресурсов </t>
  </si>
  <si>
    <t>Функционирование высшего должностного лица субъекта Российской Федерации и муниципального образования</t>
  </si>
  <si>
    <t>Дорожное хозяйство (дорожные фонды)</t>
  </si>
  <si>
    <t>Целевая субсидия на проведение ремонта в муниципальных бюджетных образовательных учреждениях дополнительного образования</t>
  </si>
  <si>
    <t xml:space="preserve">Целевые субсидии бюджетным учреждениям, в том числе: </t>
  </si>
  <si>
    <t>Прочие местные налоги и сборы, мобилизуемые на территориях городских округов</t>
  </si>
  <si>
    <t>1 09 07052 04 0000 110</t>
  </si>
  <si>
    <t>ДОХОДЫ ОТ ИСПОЛЬЗОВАНИЯ ИМУЩЕСТВА, НАХОДЯЩЕГОСЯ В ГОСУДАРСТВЕННОЙ И МУНИЦИПАЛЬНОЙ СОБСТВЕННОСТИ</t>
  </si>
  <si>
    <t>1 11 00000 00 0000 000</t>
  </si>
  <si>
    <t>Субсидии бюджетным учреждениям на иные цели</t>
  </si>
  <si>
    <t>01 1 9112</t>
  </si>
  <si>
    <t>01 2 9122</t>
  </si>
  <si>
    <t>01 2 9123</t>
  </si>
  <si>
    <t>по целевым статьям (муниципальных программ городского округа Домодедово и непрограммным направлениям деятельности), группам и подгруппам видов расходов классификации расходов бюджетов</t>
  </si>
  <si>
    <t>Резервные средства</t>
  </si>
  <si>
    <t>870</t>
  </si>
  <si>
    <t>Прочая закупка товаров, работ и услуг для муниципальных нужд</t>
  </si>
  <si>
    <t>244</t>
  </si>
  <si>
    <t>Целевые субсидии бюджетным учреждениям, в том числе:</t>
  </si>
  <si>
    <t>Целевая субсидия на приобретение основных средств</t>
  </si>
  <si>
    <t>Выплата единовременной материальной помощи инвалидам всех категорий в рамках проведения дня инвалида*</t>
  </si>
  <si>
    <t>Выплата единовременной материальной помощи малоимущим гражданам*</t>
  </si>
  <si>
    <t>Дефицит бюджета городского округа</t>
  </si>
  <si>
    <t>НАЦИОНАЛЬНАЯ ОБОРОНА</t>
  </si>
  <si>
    <t>Реализация государственных функций по мобилизационной подготовке экономики</t>
  </si>
  <si>
    <t>209 00 00</t>
  </si>
  <si>
    <t>Субсидии автономным учреждениям</t>
  </si>
  <si>
    <t>620</t>
  </si>
  <si>
    <t>621</t>
  </si>
  <si>
    <t xml:space="preserve">02 4 6044 </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</si>
  <si>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</si>
  <si>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1 14 02043 04 0000 410</t>
  </si>
  <si>
    <t>Финансовое обеспечение получения гражданами дошкольного, начального общего, основного общего и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</si>
  <si>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03 2 6221</t>
  </si>
  <si>
    <t>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 прошедших государственную аккредитацию</t>
  </si>
  <si>
    <t>Подпрограмма "Развитие общего образования в городском округе Домодедово на 2014-2016 годы"</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</si>
  <si>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</si>
  <si>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1 16 43000 01 0000 140</t>
  </si>
  <si>
    <t>Денежные взыскания (штрафы), установленные законами субъектов Российской Федерации за несоблюдение муниципальных правовых актов</t>
  </si>
  <si>
    <t>1 16 51000 02 0000 140</t>
  </si>
  <si>
    <t>Субвенции бюджетам муниципальных образований на предоставление гражданам субсидий на оплату жилого помещения и коммунальных услуг</t>
  </si>
  <si>
    <t>2 02 03022 00 0000 151</t>
  </si>
  <si>
    <t>Субвенции бюджетам городских округов на предоставление гражданам субсидий на оплату жилого помещения и коммунальных услуг</t>
  </si>
  <si>
    <t>2 02 03022 04 0000 151</t>
  </si>
  <si>
    <t>Субвенции местным бюджетам на выполнение передаваемых полномочий субъектов РФ</t>
  </si>
  <si>
    <t>2 02 03024 00 0000 151</t>
  </si>
  <si>
    <t>Мероприятия в области охраны, восстановления и использования лесов</t>
  </si>
  <si>
    <t>Автомобильный транспорт</t>
  </si>
  <si>
    <t>Обслуживание государственного внутреннего и муниципального долга</t>
  </si>
  <si>
    <t>СРЕДСТВА МАССОВОЙ ИНФОРМАЦИИ</t>
  </si>
  <si>
    <t>ФИЗИЧЕСКАЯ КУЛЬТУРА И СПОРТ</t>
  </si>
  <si>
    <t>ФИЗИЧЕСКАЯ КУЛЬТУРА</t>
  </si>
  <si>
    <t>Защита населения и территории от чрезвычайных ситуаций природного и техногенного характера, гражданская оборона</t>
  </si>
  <si>
    <t>Капитальные вложения в объекты недвижимого имущества государственной (муниципальной) собственности</t>
  </si>
  <si>
    <t>Муниципальная программа  "Безопасность населения городского округа Домодедово на 2014-2016 годы"</t>
  </si>
  <si>
    <t>000 01 06 06 00 04 0000 500</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</si>
  <si>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</si>
  <si>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2 02 03026 00 0000 151</t>
  </si>
  <si>
    <t>Доходы от компенсации затрат государства</t>
  </si>
  <si>
    <t>1 13 02000 00 0000 130</t>
  </si>
  <si>
    <t>Прочие доходы от компенсации затрат бюджетов городских округов</t>
  </si>
  <si>
    <t>1 13 02994 04 0000 130</t>
  </si>
  <si>
    <t>ДОХОДЫ ОТ ПРОДАЖИ МАТЕРИАЛЬНЫХ  И НЕМАТЕРИАЛЬНЫХ АКТИВОВ</t>
  </si>
  <si>
    <t>1 14 00000 00 0000 000</t>
  </si>
  <si>
    <t>Доходы от продажи квартир</t>
  </si>
  <si>
    <t>Иные межбюджетные трансферты из бюджета Московской области</t>
  </si>
  <si>
    <t>Скорая медицинская помощь</t>
  </si>
  <si>
    <t>Доплаты к пенсиям, дополнительное пенсионное обеспечение</t>
  </si>
  <si>
    <t>Погашение бюджетом городского округа кредитов от кредитных организаций в валюте Российской Федерации</t>
  </si>
  <si>
    <t>000 01 03 00 00 00 0000 000</t>
  </si>
  <si>
    <t>Погашение государственных (муниципальных) ценных бумаг, номинальная стоимость которых указана в валюте Российской Федерации</t>
  </si>
  <si>
    <t>017 01 01 00 00 04 0000 810</t>
  </si>
  <si>
    <t>Мероприятия по землеустройству и землепользованию</t>
  </si>
  <si>
    <t>Совет депутатов городского округа Домодедово  МО</t>
  </si>
  <si>
    <t>Муниципальная программа "Развитие жилищно-коммунального хозяйства на 2014-2016 годы"</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</si>
  <si>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</si>
  <si>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1 14 02042 04 0000 440</t>
  </si>
  <si>
    <t>Целевая субсидия на приобретение видеокамеры и сопутствующего снаряжения к ней</t>
  </si>
  <si>
    <t>Закупка материалов для электроснабжения Олимпийской аллеи</t>
  </si>
  <si>
    <t>Целевая субсидия на бюджетным учреждениям на восстановление путепровода через р. Северка, д. Дебречено</t>
  </si>
  <si>
    <t>Субсидии бюджетам на осуществление мероприятий по обеспечению жильем граждан Российской Федерации , проживающих в сельской местности</t>
  </si>
  <si>
    <t>2 02 02085 00 0000 151</t>
  </si>
  <si>
    <t>02 0 8440</t>
  </si>
  <si>
    <t>Целевая субсидия на приобретение серверного оборудования</t>
  </si>
  <si>
    <t>Муниципальная программа "Архитектура и градостроительство городского округа Домодедово на 2014-2016 годы"</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</si>
  <si>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</si>
  <si>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01 </t>
  </si>
  <si>
    <t>Благоустройство</t>
  </si>
  <si>
    <t>Уличное освещение</t>
  </si>
  <si>
    <t xml:space="preserve">000 01 02 00 00 00 0000 000 </t>
  </si>
  <si>
    <t>Иные закупки товаров, работ, услуг для муниципальных нужд</t>
  </si>
  <si>
    <t>Мероприятия по экологии</t>
  </si>
  <si>
    <t>07 1 0000</t>
  </si>
  <si>
    <t>Расходы на выплаты персоналу казенных учреждений</t>
  </si>
  <si>
    <t>110</t>
  </si>
  <si>
    <t>400</t>
  </si>
  <si>
    <t>700</t>
  </si>
  <si>
    <t>Доплаты к пенсиям государственных служащих субъектов РФ и муниципальных служащих*</t>
  </si>
  <si>
    <t>Подпрограмма "Обеспечение доступности услуг пассажирского транспорта на территории городского округа Домодедово на 2014-2016 годы"</t>
  </si>
  <si>
    <t>14 3 0000</t>
  </si>
  <si>
    <t>04 1 2324</t>
  </si>
  <si>
    <t>04 1 2603</t>
  </si>
  <si>
    <t>04 1 2604</t>
  </si>
  <si>
    <t>04 1 2605</t>
  </si>
  <si>
    <t>04 1 2606</t>
  </si>
  <si>
    <t>04 1 2607</t>
  </si>
  <si>
    <t>Субсидии, за исключением субсидий на софинансирование объектов капитального строительства государственной собственности и муниципальной собственности</t>
  </si>
  <si>
    <t>521</t>
  </si>
  <si>
    <t>Уменьшение прочих источников финансирования дефицитов бюджетов за счет иных финансовых активов</t>
  </si>
  <si>
    <t>Субсидии телерадиокомпаниям и телерадиоорганизациям</t>
  </si>
  <si>
    <t>Пенсионное обеспечение</t>
  </si>
  <si>
    <t>Муниципальная программа "Эффективная власть"</t>
  </si>
  <si>
    <t xml:space="preserve">Целевая субсидия на приобретение оборудования </t>
  </si>
  <si>
    <t>Подготовка населения и организаций к действиям в чрезвычайной ситуации в мирное и военное время</t>
  </si>
  <si>
    <t xml:space="preserve">ИСТОЧНИКИ  ВНУТРЕННЕГО ФИНАНСИРОВАНИЯ  </t>
  </si>
  <si>
    <t>Подпрограмма "Поддержка отдельных категорий граждан при улучшении ими жилищных условий, в том числе с использованием ипотечных жилищных кредитов на 2014-2016 годы"</t>
  </si>
  <si>
    <t>09 2 0000</t>
  </si>
  <si>
    <t>Стационарная медицинская помощь</t>
  </si>
  <si>
    <t xml:space="preserve">МЕЖБЮДЖЕТНЫЕ ТРАНСФЕРТЫ ОБЩЕГО ХАРАКТЕРА БЮДЖЕТАМ СУБЪЕКТОВ РОССИЙСКОЙ ФЕДЕРАЦИИ И МУНИЦИПАЛЬНЫХ ОБРАЗОВАНИЙ </t>
  </si>
  <si>
    <t>Обеспечение проведения выборов и референдумов</t>
  </si>
  <si>
    <t>по разделам, подразделам, целевым статьям (муниципальным программам</t>
  </si>
  <si>
    <t xml:space="preserve">Приложение №  4 </t>
  </si>
  <si>
    <t>Субсидии бюджетам городских округов на обеспечение жильем молодых семей</t>
  </si>
  <si>
    <t>2 02 02008 04 0000 151</t>
  </si>
  <si>
    <t>Субсидии бюджетам на государственную поддержку внедрения комплексных мер модернизации образования</t>
  </si>
  <si>
    <t>2 02 02042 00 0000 151</t>
  </si>
  <si>
    <t>Социальное обеспечение населения</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</si>
  <si>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</si>
  <si>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1 11 01040 04 0000 120</t>
  </si>
  <si>
    <t>Периодические издания, учрежденные органами законодательной и исполнительной власти</t>
  </si>
  <si>
    <t>Иные источники внутреннего финансирования дефицитов бюджетов</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</si>
  <si>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</si>
  <si>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Примечание:</t>
  </si>
  <si>
    <t>* Публичные нормативные обязательства</t>
  </si>
  <si>
    <t>001 40 00</t>
  </si>
  <si>
    <t>Резервные фонды местных администраций</t>
  </si>
  <si>
    <t xml:space="preserve">Выполнение функций государственными органами </t>
  </si>
  <si>
    <t xml:space="preserve">Межбюджетные трансферты, передаваемые бюджетам на создание и развитие сети многофункциональных центров предоставления государственных и муниципальных услуг
</t>
  </si>
  <si>
    <t xml:space="preserve">Межбюджетные трансферты,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
</t>
  </si>
  <si>
    <t xml:space="preserve">2 02 04061 04 0000 151
</t>
  </si>
  <si>
    <t xml:space="preserve">2 02 04061 00 0000 151
</t>
  </si>
  <si>
    <t>Целевая субсидия на приобретение оптокоптера с видеокамерой и системой управления</t>
  </si>
  <si>
    <t xml:space="preserve">Внедрение современных образовательных технологий </t>
  </si>
  <si>
    <t>03 2 6228</t>
  </si>
  <si>
    <t>Погашение бюджетом городского округа кредитов  от других бюджетов бюджетной системы Российской Федерации в валюте Российской Федерации</t>
  </si>
  <si>
    <t>000 01 05 00 00 00 0000 000</t>
  </si>
  <si>
    <t>018</t>
  </si>
  <si>
    <t>Пенсии</t>
  </si>
  <si>
    <t>Подвоз учащихся к месту обучения в муниципальные общеобразовательные учреждения, расположенные в сельской местности</t>
  </si>
  <si>
    <t>11 2 0000</t>
  </si>
  <si>
    <t>11 2 2203</t>
  </si>
  <si>
    <t>Подпрограмма "Снижение рисков и смягчение последствий чрезвычайных ситуаций природного и техногенного характера на территории городского округа Домодедово  на 2014-2016 годы"</t>
  </si>
  <si>
    <t>08 0 0000</t>
  </si>
  <si>
    <t>08 2 0000</t>
  </si>
  <si>
    <t>08 2 2218</t>
  </si>
  <si>
    <t>08 2 2219</t>
  </si>
  <si>
    <t>Подпрограмма "Развитие и совершенствование систем оповещения и информирования населения городского округа Домодедово на 2014-2016 годы"</t>
  </si>
  <si>
    <t>08 3 0000</t>
  </si>
  <si>
    <t>Развитие и совершенствование комплексной системы оповещения населения при чрезвычайной ситуации</t>
  </si>
  <si>
    <t>08 3 2219</t>
  </si>
  <si>
    <t>Подпрограмма "Обеспечение мероприятий гражданской обороны на территории городского округа Домодедово на 2014-2016 годы"</t>
  </si>
  <si>
    <t>08 5 0000</t>
  </si>
  <si>
    <t>08 5 2219</t>
  </si>
  <si>
    <t>03 2 6234</t>
  </si>
  <si>
    <t>Мероприятия по проведению капитального, текущего ремонта, ремонта и установке ограждений, ремонта кровель, замену оконных конструкций, выполнению противопожарных мероприятий в муниципальных общеобразовательных организациях</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</si>
  <si>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</si>
  <si>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Целевая субсидия на устройство Аллеи 60-летия Победы м-н Центральный, ул.Советская</t>
  </si>
  <si>
    <t>Целевая субсидия на приобретение на приобретение видеоконтента</t>
  </si>
  <si>
    <t>Целевая субсидия на приобретение на приобретение устройств к касетным видоекамерам для записи видеоматериалов</t>
  </si>
  <si>
    <t>Целевая субсидия на приобретение на разработку программного обеспечения для организации подписки электронной версии газеты "Призыв"</t>
  </si>
  <si>
    <t>Целевая субсидия на приобретение туберкулина, изготовление информационных бланков по диспансеризации</t>
  </si>
  <si>
    <t>Ежемесячная доплата к пенсии бывшим руководителям исполнительного комитета Домодедовского городского Совета и Домодедовского городского комитета КПСС *</t>
  </si>
  <si>
    <t>Культура</t>
  </si>
  <si>
    <t xml:space="preserve">Субсидии бюджетным учреждениям, в том числе: </t>
  </si>
  <si>
    <t>Изменение остатков средств на счетах по учету средств бюджета</t>
  </si>
  <si>
    <t>000 01 05 02 00 00 0000 500</t>
  </si>
  <si>
    <t>Состояние окружающей среды и природопользования</t>
  </si>
  <si>
    <t>410 01 00</t>
  </si>
  <si>
    <t>Амбулаторная помощь</t>
  </si>
  <si>
    <t>000 01 06 04 00 00 0000 000</t>
  </si>
  <si>
    <t>Профессиональная подготовка, переподготовка и повышение квалификации</t>
  </si>
  <si>
    <t>Другие вопросы в области культуры,  кинематографии</t>
  </si>
  <si>
    <t>Частичная компенсация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Отдельные мероприятия в области автомобильного транспорта (прочие расходы), средства областного бюджета</t>
  </si>
  <si>
    <t>Подпрограмма "Капитальный ремонт общего имущества в многоквартирных домах, расположенных на территории городского округа Домодедово, на 2014-2016 годы"</t>
  </si>
  <si>
    <t xml:space="preserve">Закупка товаров, работ и услуг для муниципальных нужд </t>
  </si>
  <si>
    <t>200</t>
  </si>
  <si>
    <t>795 09 00</t>
  </si>
  <si>
    <t>322</t>
  </si>
  <si>
    <t>Социальное обеспечение и иные выплаты населению</t>
  </si>
  <si>
    <t>300</t>
  </si>
  <si>
    <t>10 2 2507</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</si>
  <si>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</si>
  <si>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2 02 03029 04 0000 151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</si>
  <si>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</si>
  <si>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2 02 03055 00 0000 151</t>
  </si>
  <si>
    <t>Целевая субсидия на приобретение и установку сплитсистемы</t>
  </si>
  <si>
    <t>Целевая субсидия на ремонт внутренних помещений, инженерных сетей</t>
  </si>
  <si>
    <t>Отдельные мероприятия в области национальной экономики (транспортировка в морг умерших, не имеющих супруга, близких и иных родственников, а также умерших других категорий для производства судебно- медицинской экспертизы)</t>
  </si>
  <si>
    <t>Субсидии юридическим лицам (кроме муниципальных учреждений) и физическим лицам - производителям товаров, работ и услуг</t>
  </si>
  <si>
    <t>120</t>
  </si>
  <si>
    <t>Субсидии бюджетным учреждениям на выполнение муниципального задания</t>
  </si>
  <si>
    <t xml:space="preserve">Субсидии бюджетным учреждениям </t>
  </si>
  <si>
    <t>610</t>
  </si>
  <si>
    <t>611</t>
  </si>
  <si>
    <t>Приобретение товаров, работ, услуг в пользу граждан</t>
  </si>
  <si>
    <t>323</t>
  </si>
  <si>
    <t>Проведение подписки на периодические печатные издания газеты "Призыв" и "Ежедневные новости. Подмосковье" инвалидам и семьям с детьми-инвалидами, состоящими на учете в Домодедовском управлении социальной защиты населения Министерства социальной защиты населения Московской области, малоимущим, одиноко проживающим гражданам, имеющим место жительства в г.о.Домодедово*</t>
  </si>
  <si>
    <t>Реконструкция ВЛ уличного освещения, в том числе монтаж праздничной иллюминации ул. Советская, г. Домодедово, микрорайон "Центральный" и микрорайон "Северный"</t>
  </si>
  <si>
    <t xml:space="preserve">Реконструкция УО в микрорайоне Барыбино, ул. Коммуны Герольд и Вокзальной площади </t>
  </si>
  <si>
    <t>Целевая субсидия  на выполнение электромонтажных работ, ремонт помещений прачечных, ремонт фасадов, ремонт и установка системы вытяжной вентиляции пищеблока</t>
  </si>
  <si>
    <t>Целевая субсидия на приобретение мебели для начальных классов</t>
  </si>
  <si>
    <t>Целевая субсидия на материально-техническое обеспечение Домодедовского информацинно-методического центра МАОУ Домодедовской СОШ №1</t>
  </si>
  <si>
    <t>Целевая субсидия на софинансирование мероприятий для инклюзивного образования детей-инвалидов в МАОУ Заревская СОШ, МАОУ ДСШ №2, МАОУ ДСШ №4</t>
  </si>
  <si>
    <t>03 5 7123</t>
  </si>
  <si>
    <t>Целевая субсидия на приобретение боксерского ринга</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</si>
  <si>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</si>
  <si>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2 02 03119 04 0000 151</t>
  </si>
  <si>
    <t>Прочие субвенции</t>
  </si>
  <si>
    <t>2 02 03999 00 0000 151</t>
  </si>
  <si>
    <t>Прочие субвенции бюджетам городских округов</t>
  </si>
  <si>
    <t>2 02 03999 04 0000 151</t>
  </si>
  <si>
    <t>Иные межбюджетные трансферты</t>
  </si>
  <si>
    <t>2 02 04000 00 0000 151</t>
  </si>
  <si>
    <t>Доходы от сдачи в аренду имущества, находящегося в оперативном управлении органов гос.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</si>
  <si>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1 11 05030 00 0000 120</t>
  </si>
  <si>
    <t xml:space="preserve">Иные выплаты персоналу за исключением фонда оплаты труда </t>
  </si>
  <si>
    <t>03 1 6214</t>
  </si>
  <si>
    <t xml:space="preserve">Компенсация части родительской платы за содержание ребенка в государственных и муниципальных образовательных учреждениях и иных образовательных учреждениях в Московской области, реализующих основную общеобразовательную программу дошкольного образования </t>
  </si>
  <si>
    <t xml:space="preserve">Субсидии юридическим лицам (кроме муниципальных учреждений) и физическим лицам - производителям товаров, работ, услуг на перевозку пассажиров в черте города </t>
  </si>
  <si>
    <t>14 3 2302</t>
  </si>
  <si>
    <t>14 3 2301</t>
  </si>
  <si>
    <t>14 3 2303</t>
  </si>
  <si>
    <t>Субсидии юридическим лицам (кроме муниципальных учреждений) и физическим лицам - производителям товаров, работ и услуг, в том числе:</t>
  </si>
  <si>
    <t>Подпрограмма "Снижение рисков и смягчение последствий чрезвычайных ситуаций природного и техногенного характера на территории городского округа Домодедово на 2014-2016 годы"</t>
  </si>
  <si>
    <t xml:space="preserve">Частичная компенсация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Отдельные мероприятия в области автомобильного транспорта </t>
  </si>
  <si>
    <t>Муниципальная  программа "Жилище" городского округа Домодедово на 2014-2016 годы"</t>
  </si>
  <si>
    <t>Подпрограмма "Обеспечение деятельности МКУ "Домодедовская статистика" на 2014-2016 годы"</t>
  </si>
  <si>
    <t>Муниципальная  программа "Развитие и функционирование дорожно-транспортного комплекса на 2014-2016 годы"</t>
  </si>
  <si>
    <t>Муниципальная программа "Жилище" городского округа Домодедово на 2014-2016 годы"</t>
  </si>
  <si>
    <t>Муниципальная программа  "Жилище" городского округа Домодедово на 2014-2016 годы"</t>
  </si>
  <si>
    <t>Подпрограмма "Обеспечение реализации полномочий Финансового управления Администрации городского округа Домодедово на 2014-2016 годы"</t>
  </si>
  <si>
    <t>12 0 0000</t>
  </si>
  <si>
    <t>Предоставление субсидий бюджетным, автономным учреждениям и иным некоммерческим организациям</t>
  </si>
  <si>
    <t>Субсидии бюджетным учреждениям, в том числе:</t>
  </si>
  <si>
    <t>247 00 00</t>
  </si>
  <si>
    <t>Проведение выборов Президента РФ</t>
  </si>
  <si>
    <t>020 02 00</t>
  </si>
  <si>
    <t>Осуществление полномочий органов местного самоуправления</t>
  </si>
  <si>
    <t>243</t>
  </si>
  <si>
    <t>Субсидии юридическим лицам (кроме муниципальных учреждений) и физическим лицам - производителям товаров, работ, услуг</t>
  </si>
  <si>
    <t>810</t>
  </si>
  <si>
    <t>017 01 02 00 00 04 0000 810</t>
  </si>
  <si>
    <t>Кредиты кредитных организаций в валюте Российской Федерации</t>
  </si>
  <si>
    <t>Бюджетные инвестиции (Реконструкция обелиска Славы воинам-домодедовцам погибшим в годы Великой Отечественной войны и аллеи Славы)</t>
  </si>
  <si>
    <t>Иные закупки  товаров, работ и  услуг для муниципальных нужд</t>
  </si>
  <si>
    <t>Обеспечение жильем отдельных категорий граждан</t>
  </si>
  <si>
    <t>09 2 2506</t>
  </si>
  <si>
    <t>002 04 00</t>
  </si>
  <si>
    <t>000 01 02 0000  00 0000 700</t>
  </si>
  <si>
    <t>017 01 02 00 00  04 0000 710</t>
  </si>
  <si>
    <t>Муниципальная программа "Социальная защита населения городского округа Домодедово на 2014-2016 годы"</t>
  </si>
  <si>
    <t>Муниципальная программа "Сельское хозяйство городского округа Домодедово Московской области на 2014-2016 годы"</t>
  </si>
  <si>
    <t xml:space="preserve">городского округа Домодедово и непрограммным направлениям деятельности), </t>
  </si>
  <si>
    <t>99 0 0000</t>
  </si>
  <si>
    <t>99 0 0500</t>
  </si>
  <si>
    <t>12 8 2299</t>
  </si>
  <si>
    <t>Плата за сбросы загрязняющих веществ в водные объекты</t>
  </si>
  <si>
    <t>1 12 01 030 01 0000 120</t>
  </si>
  <si>
    <t>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</si>
  <si>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</si>
  <si>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Целевая субсидия на печатание и публикацию информационных материалов</t>
  </si>
  <si>
    <t>Подпрограмма "Обеспечение деятельности МБУ "Многофункциональный центр предоставления государственных и муниципальных услуг" на 2014-2016 годы</t>
  </si>
  <si>
    <t xml:space="preserve">Поступления доходов в бюджет городского округа в 2014 году </t>
  </si>
  <si>
    <t xml:space="preserve">Наименования  </t>
  </si>
  <si>
    <t xml:space="preserve">Код </t>
  </si>
  <si>
    <t>НАЛОГОВЫЕ И НЕНАЛОГОВЫЕ ДОХОДЫ</t>
  </si>
  <si>
    <t>1 00 00000 00 0000 000</t>
  </si>
  <si>
    <t xml:space="preserve">НАЛОГИ НА ПРИБЫЛЬ, ДОХОДЫ </t>
  </si>
  <si>
    <t>1 01 00000 00 0000 000</t>
  </si>
  <si>
    <t>Налог на прибыль организаций</t>
  </si>
  <si>
    <t>1 01 01000 00 0000 110</t>
  </si>
  <si>
    <t>000 01 05 01 00 00 0000 600</t>
  </si>
  <si>
    <t>Уменьшение остатков финансовых резервов бюджетов</t>
  </si>
  <si>
    <t>000 01 05 01 01 00 0000 610</t>
  </si>
  <si>
    <t>Уменьшение остатков денежных средств финансовых резервов бюджетов</t>
  </si>
  <si>
    <t>017 01 05 01 01 04 0000 610</t>
  </si>
  <si>
    <t>Уменьшение остатков денежных средств финансовых резервов бюджетов городских округов</t>
  </si>
  <si>
    <t>000 01 05 01 02 00 0000 620</t>
  </si>
  <si>
    <t>Подпрограмма "Экология и окружающая среда городского округа Домодедово на 2014-2016 годы"</t>
  </si>
  <si>
    <t>07 2 0000</t>
  </si>
  <si>
    <t>07 0 0000</t>
  </si>
  <si>
    <t>07 2 2410</t>
  </si>
  <si>
    <t>Целевая субсидия на проведение работ по демонтажу и перевозке рентгенаппарата КРД ОКО</t>
  </si>
  <si>
    <t>Целевая субсидия на проведение работ по монтажу рентгенаппарата КРД ОКО</t>
  </si>
  <si>
    <t>Средства от продажи акций и иных форм участия в капитале, находящихся в государственной и муниципальной собственности</t>
  </si>
  <si>
    <t>Средства от продажи акций и иных форм участия в капитале, находящихся в собственности городского округа</t>
  </si>
  <si>
    <t>Уплата прочих налогов, сборов и иных платежей</t>
  </si>
  <si>
    <t>852</t>
  </si>
  <si>
    <t xml:space="preserve">Субсидии автономным учреждениям </t>
  </si>
  <si>
    <t>242</t>
  </si>
  <si>
    <t>Разработка ПСД на строительство административно-хозяйственного здания ГС "Авангард"</t>
  </si>
  <si>
    <t xml:space="preserve">Целевая субсидия на приобретение технологического оборудования и инвентаря </t>
  </si>
  <si>
    <t>Целевая субсидия на проведение капитального ремонта пищеблока</t>
  </si>
  <si>
    <t xml:space="preserve">Целевая субсидия на проведение ремонта крылец  в муниципальных  образовательных учреждениях </t>
  </si>
  <si>
    <t>Субсидии бюджетным учреждениям, в том чмсле:</t>
  </si>
  <si>
    <t xml:space="preserve">Субсидии бюджетным учреждениям, втом числе: </t>
  </si>
  <si>
    <t>Подпрограмма "Обеспечение деятельности комитета по управлению имуществом Администрации городского округа Домодедово Московской области на 2014-2016 годы"</t>
  </si>
  <si>
    <t>12 Д 0000</t>
  </si>
  <si>
    <t>12 Д 2204</t>
  </si>
  <si>
    <t>12 Д 2295</t>
  </si>
  <si>
    <t>12 6 0000</t>
  </si>
  <si>
    <t>12 6 2203</t>
  </si>
  <si>
    <t>Целевая субсидия на  ремонт недвижимого имущества</t>
  </si>
  <si>
    <t xml:space="preserve">от                         №   </t>
  </si>
  <si>
    <t>Целевая субсидия на капитальный и текущий ремонт, приобретение мебели,оборудования, материалов и основных средств, технологическое присоединение дополнительной мощности, устройство подвесного медицинского потолка, установка кнопок вызова медицинского персонала, противопожарные мероприятия, ремонт и устройство контейнерных площадок, установка контейнерных бачков, установка систем контроля доступа в отделения, ремонт автоматики распашных ворот</t>
  </si>
  <si>
    <t>Целевая субсидия на приобретение основных средств, оргтехники</t>
  </si>
  <si>
    <t>Строительство очистных сооружений микрорайон "Востряково"</t>
  </si>
  <si>
    <t>Строительство очистных сооружений микрорайон "Западный",  ГПЗ "Константиново"</t>
  </si>
  <si>
    <t>Реконструкция котельных: микрорайон "Западный" , котельная "КШФ"; микрорайон "Северный", котельная "Речная"</t>
  </si>
  <si>
    <t>10 2 6018</t>
  </si>
  <si>
    <t>09 1 5020</t>
  </si>
  <si>
    <t>03 3 6241</t>
  </si>
  <si>
    <t>Целевая субсидия на на поддержку реализации мероприятий Федеральной целевой программы развития образования на 2011-2015 годы по направлению "Распространение на всей территории Российской Федерации современных моделей успешной социализации детей"</t>
  </si>
  <si>
    <t xml:space="preserve">07 </t>
  </si>
  <si>
    <t>02 0 8441</t>
  </si>
  <si>
    <t>02 0 8450</t>
  </si>
  <si>
    <t>851</t>
  </si>
  <si>
    <t>111</t>
  </si>
  <si>
    <t>Иные закупки товаров, работ и услуг для муниципальных нужд</t>
  </si>
  <si>
    <t xml:space="preserve">Социальные выплаты гражданам, кроме публичных нормативных социальных выплат </t>
  </si>
  <si>
    <t>Субвенции бюджетам на обеспечение жильем отдельных категорий граждан, установленных Федеральным законом от 12 января 1995 года №5ФЗ "О ветеранах" и от 24 ноября 1995 года №181-ФЗ "О социальной защите инвалидов в Российской Федерации"</t>
  </si>
  <si>
    <t>2 02 03070 00 0000 151</t>
  </si>
  <si>
    <t>Субвенции бюджетам городских округов на обеспечение жильем отдельных категорий граждан, установленных Федеральным законом от 12 января 1995 года №5ФЗ "О ветеранах" и от 24 ноября 1995 года №181-ФЗ "О социальной защите инвалидов в Российской Федерации"</t>
  </si>
  <si>
    <t>2 02 03070 04 0000 151</t>
  </si>
  <si>
    <t>Субвенции бюджетам на обеспечение жильем граждан, уволенных с военной службы (службы), и приравненных к ним лиц</t>
  </si>
  <si>
    <t>2 02 03077 00 0000 151</t>
  </si>
  <si>
    <t>Субвенции бюджетам городских округов на обеспечение жильем граждан, уволенных с военной службы (службы), и приравненных к ним лиц</t>
  </si>
  <si>
    <t>2 02 03077 04 0000 151</t>
  </si>
  <si>
    <t>Субвенции бюджетам на модернизацию региональных систем общего образования</t>
  </si>
  <si>
    <t>2 02 03078 00 0000 151</t>
  </si>
  <si>
    <t>Субвенции бюджетам городских округов на модернизацию региональных систем общего образования</t>
  </si>
  <si>
    <t>2 02 03078 04 0000 151</t>
  </si>
  <si>
    <t>466</t>
  </si>
  <si>
    <t>Муниципальная программа "Экология и окружающая среда городского округа Домодедово на 2014-2016 годы</t>
  </si>
  <si>
    <t>Муниципальная программа "Предпринимательство городского округа Домодедово на 2014-2016 годы"</t>
  </si>
  <si>
    <t>Субсидии некоммерческим организациям (за исключением государственных (муниципальных) учреждений)</t>
  </si>
  <si>
    <t>Целевая субсидия на поставку медицинского оборудования и медицинского инструментария для хирургического отделения МСЧ МБУЗ "ДЦГБ"</t>
  </si>
  <si>
    <t>Подпрограмма "Устойчивое развитие сельских территорий на 2014-2020 годы"</t>
  </si>
  <si>
    <t>группам и подгруппам видов расходов классификации расходов бюджетов</t>
  </si>
  <si>
    <t>Реконструкция УО дворовой территории д. № 18 и автобусной остановки  в селе Юсупово, Растуновского административного округа</t>
  </si>
  <si>
    <t>Создание и развитие сети многофункциональных центров предоставление государственных и муниципальных услуг за счет средств, перечисляемых из федерального бюджета</t>
  </si>
  <si>
    <t>03 6 7152</t>
  </si>
  <si>
    <t>03 2 7101</t>
  </si>
  <si>
    <t>Публичные нормативные социальные выплаты гражданам</t>
  </si>
  <si>
    <t>Пособия и компенсации гражданам и иные социальные выплаты, кроме публичных нормативных обязательств</t>
  </si>
  <si>
    <t>321</t>
  </si>
  <si>
    <t>02 0 8000</t>
  </si>
  <si>
    <t>Вопросы в области лесных отношений</t>
  </si>
  <si>
    <t>Погашение бюджетных кредитов, полученных от других бюджетов бюджетной системы Российской Федерации в валюте Российской Федерации</t>
  </si>
  <si>
    <t>Медицинская помощь в дневных стационарах всех типов</t>
  </si>
  <si>
    <t>Монтаж узла учета тепловой энергии, перекладка магистралей тепловых сетей в здании МБУ "ДЦГБ"</t>
  </si>
  <si>
    <t>09 3 5082</t>
  </si>
  <si>
    <t>017 01 05 01 01 04 0000 510</t>
  </si>
  <si>
    <t>Увеличение остатков денежных средств финансовых резервов бюджетов городских округов</t>
  </si>
  <si>
    <t>000 01 05 01 02 00 0000 520</t>
  </si>
  <si>
    <t>000 01 05 01 00 00 0000 500</t>
  </si>
  <si>
    <t>Увеличение остатков финансовых резервов бюджетов</t>
  </si>
  <si>
    <t>000 01 05 01 01 00 0000 510</t>
  </si>
  <si>
    <t>Увеличение остатков денежных средств финансовых резервов бюджетов</t>
  </si>
  <si>
    <t>Обеспечение жилыми помещениями детей - сирот, детей, оставшихся без попечения родителей, а также детей, находящихся под опекой (попечительством), не имеющих закрепленного жилого помещения</t>
  </si>
  <si>
    <t>Строительство трубопроводов  водоснабжения и водоотведения к модульным зданиям на территории лагеря им. Талалихина</t>
  </si>
  <si>
    <t>Целевая субсидия на топографическую съемку участка ГС "Авангард"</t>
  </si>
  <si>
    <t>Предоставление субсидий бюджетным, автономным учреждениям и иным некоммерческим организациям, в том числе:</t>
  </si>
  <si>
    <t>Прокладка электроснабжения и наружного освещения к модульным зданиям на территории лагеря им. Талалихина</t>
  </si>
  <si>
    <t>Исполнение государственных и муниципальных гарантий в валюте Российской Федерации</t>
  </si>
  <si>
    <t>000 01 05 02 01 00 0000 510</t>
  </si>
  <si>
    <t>017 01 05 02 01 04 0000 510</t>
  </si>
  <si>
    <t>000 01 05 02 00 00 0000 600</t>
  </si>
  <si>
    <t xml:space="preserve">                       к Решению Совета депутатов</t>
  </si>
  <si>
    <t xml:space="preserve">     Приложение №  6   </t>
  </si>
  <si>
    <t>03 2 7152</t>
  </si>
  <si>
    <t>03 3 0000</t>
  </si>
  <si>
    <t>03 4 0000</t>
  </si>
  <si>
    <t>04 0 0000</t>
  </si>
  <si>
    <t>04 1 0000</t>
  </si>
  <si>
    <t>2014 год</t>
  </si>
  <si>
    <t>Муниципальная программа  "Эффективная власть"</t>
  </si>
  <si>
    <t>Целевая субсидия на софинансирование мероприятий по совершенствованию организации питания обучающихся в муниципальных общеобразовательных организациях</t>
  </si>
  <si>
    <t>Целевая субсидия на софинансирование мероприятий  в муниципальных общеобразовательных организациях внедряющих инновационные образовательные проекты на период 2014-2015 годов</t>
  </si>
  <si>
    <t>03 5 0000</t>
  </si>
  <si>
    <t>03 5 6234</t>
  </si>
  <si>
    <t>03 5 7121</t>
  </si>
  <si>
    <t>Иные межбюджетные трансферты из бюджета Моск.обл. на допол.мероприятия по развитию жилищно-коммун.хозяйства и социально-культурной сферы на 2014 г. и на плановый период 2015 и 2016 гг.</t>
  </si>
  <si>
    <t>03 2 6230</t>
  </si>
  <si>
    <t>Закупка учебного оборудования и мебели для муниц.общеобраз.организаций - победителей областного конкурса муниц.общеобраз. организаций, разрабатывающих и внедряющих инновационные образовательные проекты</t>
  </si>
  <si>
    <t>1 01 02010 01 0000 110</t>
  </si>
  <si>
    <t>Приложение №10</t>
  </si>
  <si>
    <t>11 1 6210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</si>
  <si>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</si>
  <si>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1 01 02020 01 0000 110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</si>
  <si>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</si>
  <si>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1 01 02030 01 0000 110</t>
  </si>
  <si>
    <t>Налог на прибыль организаций, зачисляемый в бюджеты субъектов Российской Федерации</t>
  </si>
  <si>
    <t>1 01 01012 02 0000 110</t>
  </si>
  <si>
    <t>Налог на доходы физических лиц</t>
  </si>
  <si>
    <t>1 01 02000 01 0000 110</t>
  </si>
  <si>
    <t>Целевая субсидия на разработку проекта санитарно-защитной зоны ГС "Авангард"</t>
  </si>
  <si>
    <t>000 01 06 06 00 04 0000 600</t>
  </si>
  <si>
    <t>Уменьшение иных финансовых активов в собственности городских округов</t>
  </si>
  <si>
    <t>017 01 06 06 01 04 0000 650</t>
  </si>
  <si>
    <t>Привлечение прочих источников внутреннего финансирования дефицитов бюджетов городских округов</t>
  </si>
  <si>
    <t>03 2 6227</t>
  </si>
  <si>
    <t>Возврат бюджетных кредитов на пополнение остатков средств на счетах бюджетов субъектов Российской Федерации (местных бюджетов), предоставленных за счет средств федерального бюджета</t>
  </si>
  <si>
    <t>Получение кредитов от кредитных организаций в валюте Российской Федерации</t>
  </si>
  <si>
    <t>Бюджетные кредиты от  других бюджетов бюджетной системы Российской Федерации</t>
  </si>
  <si>
    <t>Выплата единовременной материальной помощи участникам обороны Москвы (включая вдов)*</t>
  </si>
  <si>
    <t>Центральный аппарат</t>
  </si>
  <si>
    <t>024</t>
  </si>
  <si>
    <t>310</t>
  </si>
  <si>
    <t>Обслуживание государственного (муниципального) долга</t>
  </si>
  <si>
    <t>500</t>
  </si>
  <si>
    <t>520</t>
  </si>
  <si>
    <t xml:space="preserve">Межбюджетные трансферты  </t>
  </si>
  <si>
    <t>Субсидии</t>
  </si>
  <si>
    <t>600</t>
  </si>
  <si>
    <t>Реконструкция УО остановки общественного транспорта и пешеходной дорожки в д. Уварово, Повадинского и Растуновского административных округов</t>
  </si>
  <si>
    <t>Организация оказания медицинской помощи на территории муниципальных образований</t>
  </si>
  <si>
    <t>01 2 0000</t>
  </si>
  <si>
    <t>01 2 9121</t>
  </si>
  <si>
    <t>01 2 6207</t>
  </si>
  <si>
    <t xml:space="preserve">Мероприятия в сфере культуры и кинематографии </t>
  </si>
  <si>
    <t xml:space="preserve">Государственная поддержка в сфере культуры и кинематографии </t>
  </si>
  <si>
    <t xml:space="preserve">Наименование </t>
  </si>
  <si>
    <t>92 0 0000</t>
  </si>
  <si>
    <t>Налог, взимаемый с налогоплательщиков, выбравших в качестве объекта налогообложения доходы (за налоговые периоды, истекшие до 1 января 2011 года)</t>
  </si>
  <si>
    <t>1 05 01012 01 0000 110</t>
  </si>
  <si>
    <t>Налог, взимаемый с налогоплательщиков, выбравших в качестве объекта налогообложения доходы, уменьшенные на величину расходов</t>
  </si>
  <si>
    <t>1 05 01020 01 0000 110</t>
  </si>
  <si>
    <t>1 05 01021 01 0000 110</t>
  </si>
  <si>
    <t>Муниципальная программа "Информационная и внутренняя политика городского округа Домодедово на 2014-2016 годы"</t>
  </si>
  <si>
    <t>000 01 06 01 00 00 0000 630</t>
  </si>
  <si>
    <t>Жилищное хозяйство</t>
  </si>
  <si>
    <t>Уменьшение финансовых активов в собственности городских округов за счет средств организаций,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</si>
  <si>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000 01 06 10 03 00 0000 600</t>
  </si>
  <si>
    <t>Возврат бюджетных кредитов на пополнение остатков средств на счетах бюджетов субъектов Российской Федерации (местных бюджетов)</t>
  </si>
  <si>
    <t>000 01 06 10 03 01 0000 640</t>
  </si>
  <si>
    <t>Целевая субсидия на возмещение специализированной службе по вопросам похоронного дела на услуги предоставляемые согласно гарантированному перечню услуг на погребение умерших, не подлежавших обязательному социальному страхованию на случай временной нетрудоспособности и в связи с материнством на день смерти и не являющихся пенсионерами, мертворожденных детей по истечении 154 дней беременности, умерших, личность которых не установлена органами внутренних дел в определенные законодательством Российской Федерации сроки, в части превышающей размер возмещения, установленный законом Московской области от 17.07.2007 № 115/2007-ОЗ «О погребении и похоронном деле в Московской области», в размере 399 руб. 16 коп. на каждое погребение.</t>
  </si>
  <si>
    <t>Целевая субсидия на мероприятия по реализации проекта "Банк-Клиент"</t>
  </si>
  <si>
    <t>Субсидия на оплату услуг по капитальному ремонту жилого фонда льготным категориям граждан*</t>
  </si>
  <si>
    <t>04 1 2620</t>
  </si>
  <si>
    <t>1 16 27000 01 0000 140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</si>
  <si>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</si>
  <si>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1 16 28000 01 0000 140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</si>
  <si>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</si>
  <si>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2 02 04012 00 0000 151</t>
  </si>
  <si>
    <t>2 02 04012 04 0000 151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</si>
  <si>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</si>
  <si>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2 02 04025 00 0000 151</t>
  </si>
  <si>
    <t>Межбюджетные трансферты, передаваемые бюджетам городских округов на комплектование книжных фондов библиотек муниципальных образований</t>
  </si>
  <si>
    <t>2 02 04025 04 0000 151</t>
  </si>
  <si>
    <t>Прочие межбюджетные трансферты, передаваемые бюджетам</t>
  </si>
  <si>
    <t>2 02 04999 00 0000 151</t>
  </si>
  <si>
    <t>Прочие межбюджетные трансферты, передаваемые бюджетам городских округов</t>
  </si>
  <si>
    <t>2 02 04999 04 0000 151</t>
  </si>
  <si>
    <t>ПРОЧИЕ БЕЗВОЗМЕЗДНЫЕ ПОСТУПЛЕНИЯ</t>
  </si>
  <si>
    <t>2 07 00000 00 0000 180</t>
  </si>
  <si>
    <t>Прочие безвозмездные поступления в  бюджеты городских округов</t>
  </si>
  <si>
    <t>2 07 04000 04 0000 180</t>
  </si>
  <si>
    <t>Поступления от денежных пожертвований, предоставляемых физическими лицами получателям средств бюджетов городских округов</t>
  </si>
  <si>
    <t>2 07 04020 04 0000 180</t>
  </si>
  <si>
    <t>Прочие безвозмездные поступления в бюджеты городских округов</t>
  </si>
  <si>
    <t>2 07 04050 04 0000 180</t>
  </si>
  <si>
    <t>1 06 00000 00 0000 000</t>
  </si>
  <si>
    <t>Налог на имущество физических лиц</t>
  </si>
  <si>
    <t>1 06 01000 00 0000 110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</si>
  <si>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</si>
  <si>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1 06 01020 04 0000 110</t>
  </si>
  <si>
    <t>Налог на имущество организаций</t>
  </si>
  <si>
    <t>1 06 02000 02 0000 110</t>
  </si>
  <si>
    <t>2 02 02215 04 0000 151</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</si>
  <si>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</si>
  <si>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</si>
  <si>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Дотации бюджетам субъектов Российской Федерации и муниципальных образований</t>
  </si>
  <si>
    <t>2 02 01000 00 0000 151</t>
  </si>
  <si>
    <t>Прочие дотации бюджетам городских округов</t>
  </si>
  <si>
    <t>2 02 01999 04 0000 151</t>
  </si>
  <si>
    <t>Субсидии бюджетам бюджетной системы Российской Федерации (межбюджетные субсидии)</t>
  </si>
  <si>
    <t>2 02 02000 00 0000 151</t>
  </si>
  <si>
    <t>Субсидии бюджетам на обеспечение жильем молодых семей</t>
  </si>
  <si>
    <t>Возврат остатков субсидий, субвенций и иных межбюджетных трансфертов, имеющих целевое назначение, прошлых лет из бюджетов городских округов</t>
  </si>
  <si>
    <t>2 19 04000 04 0000 151</t>
  </si>
  <si>
    <t xml:space="preserve">                    ВСЕГО  ДОХОДОВ</t>
  </si>
  <si>
    <t>8 90 00000 00 0000 000</t>
  </si>
  <si>
    <t>Оплата жилищно - коммунальных услуг, разницы в тарифах по электрической энергии и природному газу отдельным категориям граждан*</t>
  </si>
  <si>
    <t>Подпрограмма "Обеспечение пожарной безопасности на территории городского округа Домодедово на 2014-2016 годы"</t>
  </si>
  <si>
    <t>08 4 0000</t>
  </si>
  <si>
    <t xml:space="preserve">Субсидия на иные цели (приобретение ГСМ для МБУ "ЭРИС") </t>
  </si>
  <si>
    <t xml:space="preserve">Целевая субсидия на приобретение ГСМ для МБУ "ЭРИС" </t>
  </si>
  <si>
    <t>Налог на рекламу, мобилизуемый на территориях городских округов</t>
  </si>
  <si>
    <t>1 09 07012 04 0000 110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</si>
  <si>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</si>
  <si>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</si>
  <si>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</si>
  <si>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1 09 07032 04 0000 110</t>
  </si>
  <si>
    <t>Прочие местные налоги и сборы</t>
  </si>
  <si>
    <t>Целевая субсидия на приобретение растительного грунта, приобретение и посадку  саженцев, деревьев, кустарников и цветников на Олимпийской аллее</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</si>
  <si>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</si>
  <si>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1 05 01022 01 0000 110</t>
  </si>
  <si>
    <t>Минимальный налог, зачисляемый в бюджеты субъектов Российской Федерации</t>
  </si>
  <si>
    <t>1 05 01050 01 0000 110</t>
  </si>
  <si>
    <t>Единый налог на вмененный доход для отдельных видов деятельности</t>
  </si>
  <si>
    <t>1 05 02000 02 0000 110</t>
  </si>
  <si>
    <t>1 05 02010 02 0000 110</t>
  </si>
  <si>
    <t>Единый налог на вмененный доход для отдельных видов деятельности (за налоговые периоды, истекшие до 1 января 2011 года)</t>
  </si>
  <si>
    <t>1 05 02020 02 0000 110</t>
  </si>
  <si>
    <t xml:space="preserve">Единый сельскохозяйственный налог </t>
  </si>
  <si>
    <t>1 05 03000 01 0000 110</t>
  </si>
  <si>
    <t>1 05 03010 01 0000 110</t>
  </si>
  <si>
    <t>Налог, взимаемый в связи с применением патентной системы налогообложения</t>
  </si>
  <si>
    <t>1 05 04000 02 0000 110</t>
  </si>
  <si>
    <t>Налог, взимаемый в связи с применением патентной системы налогообложения, зачисляемый в бюджеты городских округов</t>
  </si>
  <si>
    <t>1 05 04010 02 0000 110</t>
  </si>
  <si>
    <t>НАЛОГИ НА ИМУЩЕСТВО</t>
  </si>
  <si>
    <t>Целевая субсидия на инженерно-геодезические работы по установлению границ и определению площади земельного участка по адресу: МО, г.Домодедово, мкрн.Авиационный, пл.Гагарина, д.5 в МАОУ Востряковская СОШ №3 с УИОП</t>
  </si>
  <si>
    <t>Целевая субсидия на приобретение технологического оборудования в МАОУ Повадинская СОШ и МАОУ Домодедовская СОШ №4 с УИОП</t>
  </si>
  <si>
    <t>Закупка товаров,работ и услуг для государственных (муниципальных) нужд</t>
  </si>
  <si>
    <t>Иные закупки товаров, работ и услуг для обеспечения государственных (муниципальных) нужд</t>
  </si>
  <si>
    <t>Субсидии юридическим лицам (кроме государственных учреждений) и физическим лицам - производителям товаров, работ и услуг на поддержку субъектов малого и среднего предпринимательства</t>
  </si>
  <si>
    <t>Субсидии юридическим лицам (кроме государственных учреждений) и физическим лицам - производителям товаров, работ и услуг на возмещение затрат субъектам малого и среднего предпринимательства</t>
  </si>
  <si>
    <t>Субсидии автономным учреждениям, в том числе:</t>
  </si>
  <si>
    <t>Субсидии автономным учреждениям, в том чмсле:</t>
  </si>
  <si>
    <t>Подпрограмма "Обеспечение деятельности МКУ "Домодедовская статистика на 2014-2016 годы"</t>
  </si>
  <si>
    <t>12 Б 0000</t>
  </si>
  <si>
    <t>12 Б 2299</t>
  </si>
  <si>
    <t>12 Г 0000</t>
  </si>
  <si>
    <t>12 Г 2203</t>
  </si>
  <si>
    <t xml:space="preserve">Расходы бюджета городского округа на 2014 год </t>
  </si>
  <si>
    <t>Строительство и содержание автомобильных дорог и инженерных сооружений на них в границах городских округов и поселений в рамках благоустройства</t>
  </si>
  <si>
    <t>Предупреждение и ликвидация последствий чрезвычайных ситуаций и стихийных бедствий природного и техногенного характера</t>
  </si>
  <si>
    <t>13</t>
  </si>
  <si>
    <t>Подпрограмма "Обеспечение деятельности МБУ  "Многофункциональный центр предоставления государственных и муниципальных услуг" на 2014-2016 годы"</t>
  </si>
  <si>
    <t>Целевая субсидия на  возмещение затрат по льготной подписке на муниципальную газету "Призыв"</t>
  </si>
  <si>
    <t>Приобретение технических средств реабилитации*</t>
  </si>
  <si>
    <t>Субсидия на иные цели (организация и осуществление мероприятий в сфере молодежной политики)</t>
  </si>
  <si>
    <t xml:space="preserve">Субсидия на иные цели (приобретение материалов и оборудования) </t>
  </si>
  <si>
    <t>Субсидия на иные цели, в том числе:</t>
  </si>
  <si>
    <t>Субсидии бюджетным учреждениям в том числе:</t>
  </si>
  <si>
    <t>Обеспечение жильем отдельных категорий граждан, установленных ФЗ от 12.01.1995 №5-ФЗ "О ветеранах", в соответствии с Указом Президента РФ от 07.05.2008 №714 "Об обеспечении жильем ветеранов ВОВ 1941-1945 годов", часть 1, статья 1.</t>
  </si>
  <si>
    <t>Обеспечение жильем отдельных категорий граждан, установленных ФЗ от 12.01.1995 №5-ФЗ "О ветеранах", в соответствии с Указом Президента РФ от 07.05.2008 №714 "Об обеспечении жильем ветеранов ВОВ 1941-1945 годов", часть 2, статья 1.</t>
  </si>
  <si>
    <t>09 2 5134</t>
  </si>
  <si>
    <t>Целевая субсидия на изготовление и монтаж рекламных конструкций для МАУ "ГС "Авангард"</t>
  </si>
  <si>
    <t>09 1 6020</t>
  </si>
  <si>
    <t>Подпрограмма "Обеспечение жильем молодых семей" долгосрочной целевой программы Московской области "Жилище" на 2013-2015 годы за счет средств, перечисляемых из областного бюджета</t>
  </si>
  <si>
    <t>Подпрограмма "Обеспечение жильем молодых семей" федеральной целевой программы "Жилище" на 2011-2015 годы за счет средств, перечисляемых из федерального бюджета</t>
  </si>
  <si>
    <t>Целевая субсидия на изготовление информационных стендов по диспансеризации</t>
  </si>
  <si>
    <t>Целевая субсидия на проведение капитального ремонта, ремонта муниципальных общеобразовательных организаций, реконструкцию электрощитовой</t>
  </si>
  <si>
    <t>Целевая субсидия на приобретение и установку рекламных конструкций (щитов), включая размещение в них рекламных модулей</t>
  </si>
  <si>
    <t>02 3 8423</t>
  </si>
  <si>
    <t>Налог на имущество организаций по имуществу, не входящему в Единую систему газоснабжения</t>
  </si>
  <si>
    <t>1 06 02010 02 0000 110</t>
  </si>
  <si>
    <t>06 2 0000</t>
  </si>
  <si>
    <t>06 0 0000</t>
  </si>
  <si>
    <t>06 2 2508</t>
  </si>
  <si>
    <t>95 0 0000</t>
  </si>
  <si>
    <t>02 3 0000</t>
  </si>
  <si>
    <t>03 3 7121</t>
  </si>
  <si>
    <t>Целевая субсидия на формирование и постановку на кадастровый учет земельного участка, расположенного на территории МАУК "ГПКиО "Елочки"</t>
  </si>
  <si>
    <t>Наименование расхода</t>
  </si>
  <si>
    <t>Всего</t>
  </si>
  <si>
    <t>в том числе:</t>
  </si>
  <si>
    <t>Сумма</t>
  </si>
  <si>
    <t>Финансовое управление Администрации городского округа Домодедово Московской области</t>
  </si>
  <si>
    <t>Проведение подписки на периодические печатные издания газеты "Призыв" и "Ежедневные новости. Подмосковье" инвалидам и семьям с детьми-инвалидами, состоящим на учете в Домодедовском управлении социальной защиты населения Министерства социальной защиты населения Московской области, малоимущим, одиноко проживающим гражданам, имеющим место жительства в г.о.Домодедово*</t>
  </si>
  <si>
    <t>от  17.12.2013  №  1-4/553</t>
  </si>
  <si>
    <t xml:space="preserve">                  от 17.12.2013  №  1-4/553  </t>
  </si>
  <si>
    <t>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(местных бюджетов)</t>
  </si>
  <si>
    <t>000 01 06 10 02 00 0000 600</t>
  </si>
  <si>
    <t>Мероприятия по закупке оборудования для дошкольных образовательных учреждений Московской области - победителей областного конкурса на присвоение статуса региональной инновационной площадки Московской области в соответствии с государственной программой Московской области "Образование Подмосковья" на 2014-2018 годы</t>
  </si>
  <si>
    <t>03 1 6213</t>
  </si>
  <si>
    <t>Выплата единовременной материальной помощи серебряному призеру XI Зимних Паралимпийских игр в Сочи - капитана сборной России по следж-хоккею*</t>
  </si>
  <si>
    <t>Муниципальная программа "Спорт городского округа Домодедово на 2014-2016 годы"</t>
  </si>
  <si>
    <t>Муниципальная программа  "Образование городского округа Домодедово на 2014-2016 годы"</t>
  </si>
  <si>
    <t>03 1 0000</t>
  </si>
  <si>
    <t>Отдельные мероприятия в области автомобильного транспорта</t>
  </si>
  <si>
    <t>017 01 06 05 01 04 0000 640</t>
  </si>
  <si>
    <t>000 01 06 05 00 00 0000 500</t>
  </si>
  <si>
    <t>Предоставление субсидий бюджетным, автономным учреждениям и иным коммерческим оганизациям</t>
  </si>
  <si>
    <t>Расходы на выплаты персоналу в целях обеспечения выполнения функций государственными (муниципальными) органами, казенными учреждениями, лрганами управлнения государственными внебюджетными фондами</t>
  </si>
  <si>
    <t>Закупка товаров, работ и услуг для государсвенных (муництпальных) нужд</t>
  </si>
  <si>
    <t>08</t>
  </si>
  <si>
    <t>000 01 06 06 00 00 0000 800</t>
  </si>
  <si>
    <t>Выполнение функций бюджетными учреждениями</t>
  </si>
  <si>
    <t>001</t>
  </si>
  <si>
    <t>Мобилизационная подготовка экономики</t>
  </si>
  <si>
    <t>209 01 00</t>
  </si>
  <si>
    <t>Фонд оплаты труда и страховые взносы</t>
  </si>
  <si>
    <t>121</t>
  </si>
  <si>
    <t>Закупка товаров, работ и услуг в целях капитального ремонта муниципального имущества</t>
  </si>
  <si>
    <t>12 8 2295</t>
  </si>
  <si>
    <t>12 Б 2295</t>
  </si>
  <si>
    <t>11 1 2508</t>
  </si>
  <si>
    <t>Бюджетные инвестиции на приобретение основных средств (автомобилей)</t>
  </si>
  <si>
    <t>Уплата налога на имущество организаций и земельного налога</t>
  </si>
  <si>
    <t>002 95 00</t>
  </si>
  <si>
    <t>расходов бюджета городского округа Домодедово на 2014 год</t>
  </si>
  <si>
    <t>Подпрограмма "Строительство, реконструкция, модернизация объектов образования городского округа Домодедово на 2014-2016 годы"</t>
  </si>
  <si>
    <t>03 5 7120</t>
  </si>
  <si>
    <t>Целевая субсидия на капитальный и текущий ремонт, приобретение и монтаж оборудования в учреждениях культуры</t>
  </si>
  <si>
    <t>Субсидии некоммерческим организациям (за исключением муниципальных учреждений)</t>
  </si>
  <si>
    <t>Центральный аппарат (отделы, обеспечивающие предоставление гражданам РФ, имеющим место жительства в Московской области, субсидий на оплату жилого помещения и коммунальных услуг и находящихся в составе Администрации или в структуре ее управомоченного учреждения)</t>
  </si>
  <si>
    <t>Иные закупки  товаров, работ и услуг для муниципальных нужд</t>
  </si>
  <si>
    <t>Подпрограмма "Обеспечение деятельности Администрации городского округа Домодедово на 2014-2016 годы"</t>
  </si>
  <si>
    <t>Муниципальная программа "Культура городского округа Домодедово на 2014-2016 годы" субсидия на повышение заработной платы работников муниципальных учреждений в сферах образования, культуры, физической культуры и спорта с 1 мая 2014 и с 1 сентября 2014 года</t>
  </si>
  <si>
    <t>Бюджетные инвестиции (Разработка ПСД и реконструкция Обелиска Славы воинам- домодедовцам погибшим в годы Великой Отечественной Войны и Аллеи Славы)</t>
  </si>
  <si>
    <t>Подпрограмма "Развитие общего образования в городском округе Домодедово на 2014-2016 год"</t>
  </si>
  <si>
    <t>03 2 6225</t>
  </si>
  <si>
    <t>Охрана семьи и детства</t>
  </si>
  <si>
    <t>03 2 7121</t>
  </si>
  <si>
    <t>03 3 7122</t>
  </si>
  <si>
    <t>03 4 7123</t>
  </si>
  <si>
    <t>03 4 7124</t>
  </si>
  <si>
    <t>03 6 7105</t>
  </si>
  <si>
    <t>07 1 2410</t>
  </si>
  <si>
    <t>Целевая субсидия на установку системы контроля управления доступом</t>
  </si>
  <si>
    <t xml:space="preserve">Реализация мер социальной поддержки и социального обеспечения детей-сирот и детей, оставшихся без попечения родителей, а также лиц из их числа в детских домах </t>
  </si>
  <si>
    <t>03 4 6224</t>
  </si>
  <si>
    <t xml:space="preserve">   прочие неналоговые доходы бюджетов городских округов (в части доходов от участия в реализации инвестиционных контрактов на строительство объектов недвижимости жилого назначения)</t>
  </si>
  <si>
    <t>1 17 05040 04 0600 180</t>
  </si>
  <si>
    <t>БЕЗВОЗМЕЗДНЫЕ ПОСТУПЛЕНИЯ</t>
  </si>
  <si>
    <t>2 00 00000 00 0000 000</t>
  </si>
  <si>
    <t>БЕЗВОЗМЕЗДНЫЕ ПОСТУПЛЕНИЯ ОТ ДРУГИХ БЮДЖЕТОВ БЮДЖЕТНОЙ СИСТЕМЫ РОССИЙСКОЙ ФЕДЕРАЦИИ</t>
  </si>
  <si>
    <t>2 02 00000 00 0000 000</t>
  </si>
  <si>
    <t>Погашение обязательств за счет прочих источников внутреннего финансирования дефицитов бюджетов городских округов</t>
  </si>
  <si>
    <t>000 01 06 10 00 00 0000 000</t>
  </si>
  <si>
    <t>Операции по управлению остатками средств на единых счетах бюджетов</t>
  </si>
  <si>
    <t>000 01 06 10 02 00 0000 500</t>
  </si>
  <si>
    <t>Приложение № 2</t>
  </si>
  <si>
    <t xml:space="preserve">     Приложение № 3   </t>
  </si>
  <si>
    <t>Приложение № 5</t>
  </si>
  <si>
    <t>Государственная экспертиза проектной документации и результатов инженерных изысканий МАОУ "Белостолбовская СОШ"</t>
  </si>
  <si>
    <t>Целевая субсидия на софинансирование мероприятий по проведению капитального, текущего ремонта, ремонта и установке ограждений, ремонта кровель, замену оконных конструкций, выполнению противопожарных мероприятий в муниципальных общеобразовательных организациях</t>
  </si>
  <si>
    <t>Государственные (муниципальные) ценные бумаги, номинальная стоимость которых указана в валюте Российской Федерации</t>
  </si>
  <si>
    <t>000 01 01 0000  00 0000 700</t>
  </si>
  <si>
    <t>2 07 04010 04 0000 180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</si>
  <si>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t>
  </si>
  <si>
    <t>Целевая субсидия на приобретение и монтаж покрытия для спортивных площадок и монтаж тренажеров</t>
  </si>
  <si>
    <t xml:space="preserve">Субсидии юридическим лицам (кроме муниципальных учреждений) и физическим лицам - производителям товаров, работ, услуг </t>
  </si>
  <si>
    <t>Глава муниципального образования</t>
  </si>
  <si>
    <t>Другие общегосударственные вопросы</t>
  </si>
  <si>
    <t>к Решению Совета депутатов</t>
  </si>
  <si>
    <t>(тыс.руб.)</t>
  </si>
  <si>
    <t>Целевая субсидия автономным учреждениям на капитальный ремонт, ремонт прогулочных веранд, технологическое присоединение к электрическим сетям, приобретение оборудования и инвентаря, выполнение электромонтажных работ, ремонт помещений прачечных, ремонт фасадов, ремонт и установка системы вытяжной вентиляции пищеблока</t>
  </si>
  <si>
    <t>Связь и информатика</t>
  </si>
  <si>
    <t>КУЛЬТУРА, КИНЕМАТОГРАФИЯ</t>
  </si>
  <si>
    <t xml:space="preserve">Программа "Спорт городского округа Домодедово на 2014-2016 годы" </t>
  </si>
  <si>
    <t>017 01 06 06 00 04 0000 810</t>
  </si>
  <si>
    <t>Социальные выплаты гражданам, кроме публичных нормативных социальных выплат</t>
  </si>
  <si>
    <t>Международные отношения и международное сотрудничество</t>
  </si>
  <si>
    <t>030 00 00</t>
  </si>
  <si>
    <t>Выполнение международных обязательств</t>
  </si>
  <si>
    <t>011</t>
  </si>
  <si>
    <t>Исполнение муниципальных гарантий без права регрессного требования гаранта к принципалу или уступки гаранту прав требования бенефициара к принципалу</t>
  </si>
  <si>
    <t>Подпрограма "Развитие информационно-коммуникационных технологий городского округа Домодедово на 2014-2016 годы"</t>
  </si>
  <si>
    <t>12 2 0000</t>
  </si>
  <si>
    <t>Целевая субсидия на капитальный и текущий ремонт, приобретение мебели, материалов, оборудования и основных средств, противопожарные мероприятия, погашение кредиторской задолженности, технологическое присоединение</t>
  </si>
  <si>
    <t>Бюджетные инвестиции на приобретение оборудования</t>
  </si>
  <si>
    <t xml:space="preserve">Субсидии автономным учреждениям, в том числе: </t>
  </si>
  <si>
    <t>Целевая субсидия на проведение капитального  ремонта</t>
  </si>
  <si>
    <t>Подпрограмма "Обеспечение доступности общего образования для детей инвалидов с ограниченными возможностями здоровья в городском округе Домодедово на 2014-2016 годы"</t>
  </si>
  <si>
    <t>000 01 06 10 02 04 0000 550</t>
  </si>
  <si>
    <t>Целевая субсидия на разработку программного комплекса и системы принятия решений по контролю за финансово хозяйственной деятельностью муниципальных унитарных предприятий, приобретение оборудования и инвентаря</t>
  </si>
  <si>
    <t>Реконструкция уличного освещения на аллее 60-летия Победы, ул. Советская</t>
  </si>
  <si>
    <t>Целевая субсидия на авторское вознаграждение</t>
  </si>
  <si>
    <t xml:space="preserve">Частичная компенсация стоимости питания отдельным категориям обучающихся в школах - детских садах, школах начальных, неполных средних и средних </t>
  </si>
  <si>
    <t>тыс. руб.</t>
  </si>
  <si>
    <t xml:space="preserve">Расходы на выплаты персоналу в целях обеспечения выполнения функций муниципальными органами, казенными учреждениями, органами управления гос. внебюджетными фондами, компенсации части родительской платы за содержание ребенка в государственных (муниципальных)  образовательных учреждениях </t>
  </si>
  <si>
    <t>Бюджетные инвестиции в объекты капитального строительства государственной (муниципальной) собственности, в том числе:</t>
  </si>
  <si>
    <t>Реконструкция обелиска Славы воинам-домодедовцам, погибшим в годы Великой Отечественной войны, и аллеи Славы</t>
  </si>
  <si>
    <t>Подпрограмма "Обеспечение деятельности Комитета по культуре, делам молодежи и спорту Администрации городского округа Домодедово на 2014-2016 годы"</t>
  </si>
  <si>
    <t>12 Ж 2201</t>
  </si>
  <si>
    <t>Целевая субсидия на печатание буклетов</t>
  </si>
  <si>
    <t>10  2 2500</t>
  </si>
  <si>
    <t xml:space="preserve">02 3 8440 </t>
  </si>
  <si>
    <t xml:space="preserve">Целевая субсидия на приобретение основных средств </t>
  </si>
  <si>
    <t xml:space="preserve">08 </t>
  </si>
  <si>
    <t>02 3 8442</t>
  </si>
  <si>
    <t>1 11 01000 00 0000 120</t>
  </si>
  <si>
    <t>Целевая субсидия на приобретение учебников</t>
  </si>
  <si>
    <t xml:space="preserve">Субсидии бюджетам на реализацию федеральных целевых программ
</t>
  </si>
  <si>
    <t>Подпрограмма "Обеспечение дятельности системы образования городского округа Домодедово на 2014-2016 годы"</t>
  </si>
  <si>
    <t>03 4 7509</t>
  </si>
  <si>
    <t>03 6 2204</t>
  </si>
  <si>
    <t>017 01 05 02 01 04 0000 610</t>
  </si>
  <si>
    <t>000 01 06 00 00 00 0000 000</t>
  </si>
  <si>
    <t>ОБЩЕГОСУДАРСТВЕННЫЕ ВОПРОСЫ</t>
  </si>
  <si>
    <t>Увеличение прочих остатков средств бюджетов</t>
  </si>
  <si>
    <t>Закупки товаров, работ и услуг для муниципальных нужд (Оплата ежедневного бесплатного обеда малоимущим, одиноко проживающим гражданам,  состоящим на учете в Домодедовском управлении социальной защиты населения Министерства социальной защиты населения Московской области)</t>
  </si>
  <si>
    <t>Строительство безнапорного наружного канализационного коллектора микрорайон "Западный",  ГПЗ "Константиново"</t>
  </si>
  <si>
    <t>Целевая субсидия на софинансирование расходов на приобретение оборудования для дошкольных образовательных учреждений, победителей областного конкурса дошкольных образовательных организаций муниципальных образований Московской области на присвоение статуса Региональной инновационной площадки Московской области в 2014 году</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</si>
  <si>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</si>
  <si>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1 14 02040 04 0000 440</t>
  </si>
  <si>
    <t>Субсидии бюджетам на государственную поддержку малого и среднего предпринимательства, включая крестьянские (фермерские) хозяйства</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</si>
  <si>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</si>
  <si>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2 02 02009 00 0000 151</t>
  </si>
  <si>
    <t>2 02 02009 04 0000 151</t>
  </si>
  <si>
    <t>Целевая субсидия на приобретение оборудования для обеспечения деятельности МБУ "МФЦ"</t>
  </si>
  <si>
    <t>1 06 06012 04 0000 110</t>
  </si>
  <si>
    <t>Земельный налог, взимаемый по ставкам, установленным в соответствии с подпунктом 2 пункта 1 статьи 394 НК РФ</t>
  </si>
  <si>
    <t>1 06 06020 00 0000 110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</si>
  <si>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</si>
  <si>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1 14 02043 04 0000 440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</si>
  <si>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</si>
  <si>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1 14 06000 00 0000 430</t>
  </si>
  <si>
    <t xml:space="preserve">Пособия, компенсации и иные социальные выплаты гражданам, кроме публичных нормативных обязательств </t>
  </si>
  <si>
    <t>000 01 06 06 00 00 0000 700</t>
  </si>
  <si>
    <t>1 14 01000 00 0000 410</t>
  </si>
  <si>
    <t>Целевая субсидия на монтаж системы видеонаблюдения в  дошкольных образовательных учреждениях городского округа Домодедово</t>
  </si>
  <si>
    <t xml:space="preserve">014 </t>
  </si>
  <si>
    <t>Целевая субсидия на монтаж системы видеонаблюдения в   муниципальных общеобразовательных учреждениях</t>
  </si>
  <si>
    <t>03 3 5027</t>
  </si>
  <si>
    <t>Целевая субсидия на мероприятия государственной программы Российской Федерации "Доступная среда" на 2011-2015 годы</t>
  </si>
  <si>
    <t>Субсидии юридическим лицам (кроме государственных учреждений) и физическим лицам - производителям товаров, работ и услуг за счет средств бюджета Московской области на реализацию мероприятий муниципальных программ развития субъектов малого и среднего предпринимательства по финансовой поддержке субъектов малого и среднего предпринимательства и организаций, образующих инфраструктуру поддержки и развития малого и среднего предпринимательства</t>
  </si>
  <si>
    <t>Целевая субсидия на капитальный и текущий ремонт, приобретение мебели, материалов, оборудования и основных средств, противопожарные мероприятия, погашение кредиторской задолженности, технологическое присоединение, установка домофона, приобретение комплектующих изделий для АТС,  поставка штор для физиотерапевтических кабинок для амбулатории "Подмосковье" МБУЗ "ДЦГБ", поставка физиотерапевтических кабинок (металлополимерные каркасы из труб и экраны на батареи для физиотерапевтических кабинок) для амбулатории "Подмосковье" МБУЗ "ДЦГБ"</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</si>
  <si>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9"/>
        <rFont val="Times New Roman Cyr"/>
        <family val="0"/>
      </rPr>
      <t>1</t>
    </r>
    <r>
      <rPr>
        <sz val="9"/>
        <rFont val="Times New Roman Cyr"/>
        <family val="1"/>
      </rPr>
      <t xml:space="preserve"> и 228 Налогового кодекса Российской Федерации</t>
    </r>
  </si>
  <si>
    <t>Подпрограмма "Развитие имущественного комплекса городского округа Домодедово, в том числе обеспечение государственной регистрации права  собственности в городском округе Домодедово; управление и распоряжение акциями хозяйственных обществ; приватизация имущества; управление и распоряжение земельными участками на 2014-2016 годы"</t>
  </si>
  <si>
    <t>12 Ж 2002</t>
  </si>
  <si>
    <t>12 Ж 0000</t>
  </si>
  <si>
    <t>12 Ж 2003</t>
  </si>
  <si>
    <t>Подпрограмма "Обеспечение деятельности МКУ "Управление нежилых помещений на 2014-2016 годы"</t>
  </si>
  <si>
    <t>12 8 0000</t>
  </si>
  <si>
    <t>Субсидии юридическим лицам (кроме муниципальных учреждений) и физическим лицам - производителям товаров, работ, услуг, в том числе:</t>
  </si>
  <si>
    <t>Муниципальная программа "Здравоохранение городского округа Домодедово на 2014-2016 годы"</t>
  </si>
  <si>
    <t>Иные выплаты персоналу за исключением фонда оплаты труда</t>
  </si>
  <si>
    <t>122</t>
  </si>
  <si>
    <t>2 02 02008 00 0000 151</t>
  </si>
  <si>
    <t>Целевая субсидия на материальную поддержку</t>
  </si>
  <si>
    <t>Выплата единовременной материальной помощи участникам ВОВ к дню Победы (включая вдов)*</t>
  </si>
  <si>
    <t>Центральный аппарат (отделы обеспечивающие предоставление гражданам РФ, имеющим место жительства в Московской области, субсидий на оплату жилого помещения и коммунальных услуг и находящихся в составе Администрации или в структуре управомоченного учреждения)</t>
  </si>
  <si>
    <t>Увеличение прочих остатков средств бюджетов городских округов, временно размещенных в ценные бумаги</t>
  </si>
  <si>
    <t>000 01 05 00 00 00 0000 600</t>
  </si>
  <si>
    <t>Уменьшение остатков средств бюджетов</t>
  </si>
  <si>
    <t>Подпрограмма " Борьба с борщевиком Сосновского на территории городского округа  Домодедово на 2014-2016 годы"</t>
  </si>
  <si>
    <t>Транспорт</t>
  </si>
  <si>
    <t>12 9 0000</t>
  </si>
  <si>
    <t>12 9 1203</t>
  </si>
  <si>
    <t>12 9 1204</t>
  </si>
  <si>
    <t>12 9 1295</t>
  </si>
  <si>
    <t>Подпрограма "Обеспечение деятельности Администрации городского округа Домодедово на 2014-2016 годы"</t>
  </si>
  <si>
    <t>Целевая субсидия на капитальный ремонт, ремонт прогулочных веранд, технологическое присоединение к электрическим сетям, приобретение оборудования и инвентаря, выполнение электромонтажных работ, ремонт помещений прачечных, ремонт фасадов, ремонт и установка системы вытяжной вентиляции пищеблока</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</si>
  <si>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</si>
  <si>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1 16 51020 02 0000 140</t>
  </si>
  <si>
    <t>Подпрограмма "Развитие дополнительного образования, формирование современной системы воспитания, в том числе профилактика ассоциального поведения несовершеннолетних, мероприятия в гор. округе Домодедово на 2014-2016 годы" мероприятия по организации отдыха детей в каникулярное время</t>
  </si>
  <si>
    <t>Субсидии бюджетам городских округов на осуществление мероприятий по обеспечению жильем граждан Российской Федерации , проживающих в сельской местности</t>
  </si>
  <si>
    <t>2 02 02085 04 0000 151</t>
  </si>
  <si>
    <t>Целевая субсидия на приобретение оборудования и инвентаря  детскому саду на 120 мест в микрорайоне Востряково</t>
  </si>
  <si>
    <t>04 1 2608</t>
  </si>
  <si>
    <t>04 1 2609</t>
  </si>
  <si>
    <t>04 1 2610</t>
  </si>
  <si>
    <t>04 1 2611</t>
  </si>
  <si>
    <t>04 1 2612</t>
  </si>
  <si>
    <t>04 1 2613</t>
  </si>
  <si>
    <t>04 1 2614</t>
  </si>
  <si>
    <t>04 1 2616</t>
  </si>
  <si>
    <t>04 1 2617</t>
  </si>
  <si>
    <t>04 1 2621</t>
  </si>
  <si>
    <t>04 1 2622</t>
  </si>
  <si>
    <r>
      <t>Муниципальная программа</t>
    </r>
    <r>
      <rPr>
        <b/>
        <i/>
        <sz val="9"/>
        <rFont val="Times New Roman Cyr"/>
        <family val="0"/>
      </rPr>
      <t xml:space="preserve"> </t>
    </r>
    <r>
      <rPr>
        <i/>
        <sz val="9"/>
        <rFont val="Times New Roman Cyr"/>
        <family val="0"/>
      </rPr>
      <t>"Развитие жилищно-коммунального хозяйства на 2014-2016 годы"</t>
    </r>
  </si>
  <si>
    <t>Субсидии гражданам на приобретение жилья</t>
  </si>
  <si>
    <t>Подпрограмма "Обеспечение деятельности Счетной палаты Администрации городского округа Домодедово Московской области на 2014-2016 годы"</t>
  </si>
  <si>
    <t>12 7 0000</t>
  </si>
  <si>
    <t>12 7 1204</t>
  </si>
  <si>
    <t>12 5 1204</t>
  </si>
  <si>
    <t>12 5 1295</t>
  </si>
  <si>
    <t>Ежегодный членский взнос в ассоциацию контрольно-счетных органов</t>
  </si>
  <si>
    <t>НАЦИОНАЛЬНАЯ ЭКОНОМИКА</t>
  </si>
  <si>
    <t>Прокладка магистральных тепловых сетей от котельной "Авиационная" до жилых домов ООО "ПФК "Гюнай" по ул. Жуковского</t>
  </si>
  <si>
    <t xml:space="preserve">Целевая субсидия на мероприятия по модернизации информационной сети, приобретение оборудования и программного обеспечения </t>
  </si>
  <si>
    <t xml:space="preserve">Оплата расходов, связанных с компенсацией проезда к месту учебы и обратно отдельным категориям обучающихся в  школах - детских садах, школах начальных, неполных средних и средних </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</si>
  <si>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</si>
  <si>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1 14 02042 04 0000 410</t>
  </si>
  <si>
    <t>Доходы от продажи земельных участков, государственная собственность на которые не разграничена</t>
  </si>
  <si>
    <t>1 14 06010 00 0000 430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</si>
  <si>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</si>
  <si>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1 14 06012 04 0000 430</t>
  </si>
  <si>
    <t>ШТРАФЫ, САНКЦИИ, ВОЗМЕЩЕНИЕ УЩЕРБА</t>
  </si>
  <si>
    <t>1 16 00000 00 0000 000</t>
  </si>
  <si>
    <t xml:space="preserve">Денежные взыскания (штрафы) за нарушение законодательства о налогах и сборах </t>
  </si>
  <si>
    <t>1 16 03000 00 0000 140</t>
  </si>
  <si>
    <t>Субсидии на осуществление капитальных вложений бюджетным и автономным учреждениям, государственным (муниципальным) унитарным предприятиям, в том числе:</t>
  </si>
  <si>
    <t>05 1 8620</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</si>
  <si>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</si>
  <si>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 xml:space="preserve">Приложение №  2   </t>
  </si>
  <si>
    <t xml:space="preserve">от 17.12.2013  № 1-4/553  </t>
  </si>
  <si>
    <t>000 01 06 04 01 00 0000 000</t>
  </si>
  <si>
    <t>000 01 06 04 01 00 0000 800</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</si>
  <si>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</si>
  <si>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000 01 06 04 01 04 0000 810</t>
  </si>
  <si>
    <t>Выплата единовременной материальной помощи участникам Сталинградской битвы*</t>
  </si>
  <si>
    <t>320</t>
  </si>
  <si>
    <t>Подпрограмма "Развитие состемы информирования населения городского округа Домодедово о деятельности органов муниципальной власти городского округа Домодедово на 2014-2016 годы"</t>
  </si>
  <si>
    <t>13 1 0000</t>
  </si>
  <si>
    <t>13 1 2301</t>
  </si>
  <si>
    <t>13 1 2700</t>
  </si>
  <si>
    <t>Подпрограмма "Обеспечение жильем детей-сирот и детей , оставшихся без попечения родителей, а также лиц из их числа" на 2013-2015 годы"</t>
  </si>
  <si>
    <t>Государственная программа Московской области "Жилище" на 2013-2015 годы"</t>
  </si>
  <si>
    <t>12 Ж 2350</t>
  </si>
  <si>
    <t>12 6 2200</t>
  </si>
  <si>
    <t>12 6 2204</t>
  </si>
  <si>
    <t>12 5 2204</t>
  </si>
  <si>
    <t>12 5 2295</t>
  </si>
  <si>
    <t>12 6 2295</t>
  </si>
  <si>
    <t>12 6 6142</t>
  </si>
  <si>
    <t>12 6 6068</t>
  </si>
  <si>
    <t>12 6 6069</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</si>
  <si>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</si>
  <si>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Исполрнение судебных актов</t>
  </si>
  <si>
    <t>Межбюджетные трансферты</t>
  </si>
  <si>
    <t xml:space="preserve">Субсидии </t>
  </si>
  <si>
    <t>Выплата единовременной материальной помощи бывшим несовершеннолетним узникам концлагерей*</t>
  </si>
  <si>
    <r>
      <t xml:space="preserve">Муниципальная программа </t>
    </r>
    <r>
      <rPr>
        <b/>
        <i/>
        <sz val="9"/>
        <rFont val="Times New Roman Cyr"/>
        <family val="0"/>
      </rPr>
      <t xml:space="preserve"> </t>
    </r>
    <r>
      <rPr>
        <i/>
        <sz val="9"/>
        <rFont val="Times New Roman Cyr"/>
        <family val="0"/>
      </rPr>
      <t>"Развитие жилищно-коммунального хозяйства на 2014-2016 годы"</t>
    </r>
  </si>
  <si>
    <t>Муниципальная программа "Образование городского округа Домодедово на 2014-2016 годы"</t>
  </si>
  <si>
    <t>ВСЕГО РАСХОДОВ</t>
  </si>
  <si>
    <t>Муниципальная  программа "Социальная защита населения городского округа Домодедово на 2014-2016 годы"</t>
  </si>
  <si>
    <t>Муниципальная  программа "Безопасность населения городского округа Домодедово на 2014-2016 годы"</t>
  </si>
  <si>
    <t>Обеспечение деятельности финансовых, налоговых и таможенных органов и органов финансового (финансово-бюджетного)  надзора</t>
  </si>
  <si>
    <t>840</t>
  </si>
  <si>
    <t xml:space="preserve">Муниципальная программа "Спорт городского округа Домодедово на 2014-2016 годы" </t>
  </si>
  <si>
    <t>Муниципальная программа  "Информационная и внутренняя политика городского округа Домодедово на 2014-2016 годы"</t>
  </si>
  <si>
    <t>Бюджетные кредиты, предоставленные внутри страны в валюте Российской Федерации</t>
  </si>
  <si>
    <t>000 01 06 05 00 00 0000 600</t>
  </si>
  <si>
    <t>Обслуживание муниципального долга</t>
  </si>
  <si>
    <t xml:space="preserve">Расходы на выплаты персоналу в целях обеспечения выполнения функций муниципальными органами, казенными учреждениями, органами управления гос. внебюджетными фондами компенсации части родительской платы за содержание ребенка в государственных (муниципальных)  образовательных учреждениях </t>
  </si>
  <si>
    <t xml:space="preserve">Мероприятия в области образования </t>
  </si>
  <si>
    <t>03 6 7100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</si>
  <si>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</si>
  <si>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Целевая субсидия на ремонт наземных звезд на Аллее 60-летия Победы</t>
  </si>
  <si>
    <r>
      <t>Примечание</t>
    </r>
    <r>
      <rPr>
        <sz val="9"/>
        <rFont val="Times New Roman Cyr"/>
        <family val="0"/>
      </rPr>
      <t>:                                                                                                                                                                                                                   *Публичные нормативные обязательства</t>
    </r>
  </si>
  <si>
    <t>Целевые субсидии автономным учреждениям, в том числе:</t>
  </si>
  <si>
    <t>Подпрограмма "Социальная поддержка граждан пожилого возраста, ветеранов, инвалидов и других категорий граждан городского округа Домодедово на 2014-2016 годы"</t>
  </si>
  <si>
    <t>04 1 2101</t>
  </si>
  <si>
    <t>Наименования</t>
  </si>
  <si>
    <t xml:space="preserve">Муниципальная  программа "Здравоохранение городского округа Домодедово на 2014-2016 годы", в том числе: </t>
  </si>
  <si>
    <t>Уплата налогов, сборов и иных платежей</t>
  </si>
  <si>
    <t>850</t>
  </si>
  <si>
    <t>Муниципальная  программа  "Культура городского округа Домодедово на 2014-2016 годы"</t>
  </si>
  <si>
    <t>02 1 8442</t>
  </si>
  <si>
    <t>02 2 0000</t>
  </si>
  <si>
    <t>Пособия, компенсации и иные социальные выплаты гражданам, кроме публичных нормативных обязательств</t>
  </si>
  <si>
    <t>03 3 6220</t>
  </si>
  <si>
    <t>Субсидии автономным  учреждениям на иные цели</t>
  </si>
  <si>
    <t>Денежные взыскания (штрафы) за нарушение земельного законодательства</t>
  </si>
  <si>
    <t>1 16 25060 01 0000 140</t>
  </si>
  <si>
    <t>Денежные взыскания (штрафы) за нарушение водного законодательства</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</si>
  <si>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</si>
  <si>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r>
      <t>Денежные взыскания (штрафы) за нарушение законодательства о налогах и сборах, предусмотренные статьями 116, 118, статьей 119</t>
    </r>
    <r>
      <rPr>
        <vertAlign val="superscript"/>
        <sz val="9"/>
        <rFont val="Times New Roman Cyr"/>
        <family val="0"/>
      </rPr>
      <t>1</t>
    </r>
    <r>
      <rPr>
        <sz val="9"/>
        <rFont val="Times New Roman Cyr"/>
        <family val="1"/>
      </rPr>
      <t>, пунктами 1 и 2 статьи 120, статьями 125, 126, 128, 129, 129</t>
    </r>
    <r>
      <rPr>
        <vertAlign val="superscript"/>
        <sz val="9"/>
        <rFont val="Times New Roman Cyr"/>
        <family val="0"/>
      </rPr>
      <t>1</t>
    </r>
    <r>
      <rPr>
        <sz val="9"/>
        <rFont val="Times New Roman Cyr"/>
        <family val="1"/>
      </rPr>
      <t>,</t>
    </r>
    <r>
      <rPr>
        <sz val="9"/>
        <rFont val="Times New Roman Cyr"/>
        <family val="1"/>
      </rPr>
      <t>132, 133, 134, 135, 135</t>
    </r>
    <r>
      <rPr>
        <vertAlign val="superscript"/>
        <sz val="9"/>
        <rFont val="Times New Roman Cyr"/>
        <family val="0"/>
      </rPr>
      <t>1</t>
    </r>
    <r>
      <rPr>
        <sz val="9"/>
        <rFont val="Times New Roman Cyr"/>
        <family val="1"/>
      </rPr>
      <t xml:space="preserve"> </t>
    </r>
    <r>
      <rPr>
        <sz val="9"/>
        <rFont val="Times New Roman Cyr"/>
        <family val="1"/>
      </rPr>
      <t>Налогового кодекса РФ</t>
    </r>
  </si>
  <si>
    <t>1 16 03010 01 0000 140</t>
  </si>
  <si>
    <t xml:space="preserve">Денежные взыскания (штрафы) за административные правонарушения в области налогов и сборов, предусмотренные Кодексом РФ об административных правонарушениях </t>
  </si>
  <si>
    <t>1 16 03030 01 0000 140</t>
  </si>
  <si>
    <t>Субсидия на реализацию мероприятий по содействию занятости населения по организации временного трудоустройства несовершеннолетних граждан в возрасте от 14 до 18 лет</t>
  </si>
  <si>
    <t>Закупка товаров, работ и услуг в области информационно - коммуникационных технологий</t>
  </si>
  <si>
    <t>795 15 00</t>
  </si>
  <si>
    <t>630</t>
  </si>
  <si>
    <t>1 09 07050 00 0000 110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</si>
  <si>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</si>
  <si>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</si>
  <si>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</si>
  <si>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1 11 09040 00 0000 120</t>
  </si>
  <si>
    <t xml:space="preserve">Приложение №  1 </t>
  </si>
  <si>
    <t>Софинансирование расходов на приобретение комплектов мультимедийного оборудования для демонстрации электронных образовательных ресурсов в муниципальных общеобразовательных организациях Московской области</t>
  </si>
  <si>
    <t>Софинансирование расходов на проведение мероприятий по формированию в Московской области сети базовых общеобразовательных организаций, в которых созданы условия для инклюзивного образования детей-инвалидов</t>
  </si>
  <si>
    <t>04 2 0000</t>
  </si>
  <si>
    <t>04 2 2623</t>
  </si>
  <si>
    <t>Приобретение товаров, работ, услуг в пользу граждан в целях их социального обеспечения</t>
  </si>
  <si>
    <t>Программа "Сельское хозяйство городского округа Домодедово Московской области на 2014-2016 годы"</t>
  </si>
  <si>
    <t>15 1 2099</t>
  </si>
  <si>
    <t>730</t>
  </si>
  <si>
    <t xml:space="preserve">Реализация мер социальной поддержки и социального обеспечения детей-сирот и детей, оставшихся без попечения родителей, а также лиц из их числа в школах-интернатах </t>
  </si>
  <si>
    <t>Уменьшение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</si>
  <si>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000 01 06 10 02 04 0000 650</t>
  </si>
  <si>
    <t xml:space="preserve">Субсидия на софинансирование мероприятий по замене лифтового оборудования, отработавшего нормативный срок </t>
  </si>
  <si>
    <t>Увеличение финансовых активов в собственности городских округов за счет средств организаций,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</si>
  <si>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000 01 06 10 03 00 0000 500</t>
  </si>
  <si>
    <t>Предоставление бюджетных кредитов на пополнение остатков средств на счетах бюджетов субъектов Российской Федерации (местных бюджетов)</t>
  </si>
  <si>
    <t>000 01 06 10 03 01 0000 540</t>
  </si>
  <si>
    <t>Мероприятия по обеспечению мобилизационной готовности экономики</t>
  </si>
  <si>
    <t>Коммунальное хозяйство</t>
  </si>
  <si>
    <t>Субсидии бюджетным учреждениям</t>
  </si>
  <si>
    <t>622</t>
  </si>
  <si>
    <t>014</t>
  </si>
  <si>
    <t>Погашение обязательств за счет прочих источников внутреннего финансирования дефицитов бюджетов</t>
  </si>
  <si>
    <t>в % к общей сумме доходов без финансовой помощи от бюджетов других уровней</t>
  </si>
  <si>
    <t>1 16 25080 01 0000 140</t>
  </si>
  <si>
    <t>Денежные взыскания (штрафы) за нарушение ФЗ "О пожарной безопасности"</t>
  </si>
  <si>
    <t>Пособия, компенсации и иные социальные выплаты гражданам, кроме публичных нормативных обязательств (приобретение школьной одежды (формы) для детей из многодетных семей)</t>
  </si>
  <si>
    <t>Социальная поддержка беременных женщин, кормящих матерей, детей в возрасте до трех лет, а также детей-сирот и детей, оставшихся без попечения родителей, находящихся в лечебно-профилактических учреждениях</t>
  </si>
  <si>
    <t>01 2 6208</t>
  </si>
  <si>
    <t>Программа "Молодежь городского округа Домодедово на 2012-2014 годы"</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</si>
  <si>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</si>
  <si>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2 02 03007 04 0000 151</t>
  </si>
  <si>
    <t>Субвенции бюджетам муниципальных образований на ежемесячное денежное вознаграждение за классное руководство</t>
  </si>
  <si>
    <t>2 02 03021 00 0000 151</t>
  </si>
  <si>
    <t>Целевая субсидия на мероприятия в сфере культуры</t>
  </si>
  <si>
    <t>2 02 04005 00 0000 151</t>
  </si>
  <si>
    <t>Межбюджетные трансферты, передаваемые бюджетам городских округов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t>
  </si>
  <si>
    <t>2 02 04005 04 0000 151</t>
  </si>
  <si>
    <t>Закупка товаров, работ и услуг для государсвенных (муниципальных) нужд</t>
  </si>
  <si>
    <t>Обслуживание государственного и муниципального долга</t>
  </si>
  <si>
    <t>Реализация мер социальной поддержки и социального обеспечения детей-сирот, оставшихся без попечения родителей, а также лиц из их числа, обучающихся по очной форме обучения в муниципальных и негосударственных учреждениях высшего профессионального образования, находящихся на территории Московской области в соответствии с Законом Московской области №248/2007-ОЗ "О предоставлении полного государственного обеспечения и дополнительных гарантий по социальной поддержке детям-сиротам и детям, оставшимся без попечения родителей"</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</si>
  <si>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</si>
  <si>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2 02 03026 04 0000 151</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</si>
  <si>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</si>
  <si>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2 02 03029 00 0000 151</t>
  </si>
  <si>
    <t xml:space="preserve">Проектные работы по теплотрассе и ИТП, проектные работы по инженерным сетям, государственная экспертиза по объекту "Дошкольное образовательное учреждение на 160 мест по адресу: Московская область, г.Домодедово, ул. Дружбы" </t>
  </si>
  <si>
    <t>Дополнительные изыскания по трассе газоснабжения, проектные работы по наружному газопроводу для котельной, государственная экспертиза по объекту "Средняя школа на 230 учащихся в мкр. Белые Столбы, г.Домодедово, ул.Телеграфная 11</t>
  </si>
  <si>
    <t>92 0 5082</t>
  </si>
  <si>
    <t>92 0 1082</t>
  </si>
  <si>
    <t xml:space="preserve">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РФ, субъектам РФ или муниципальным образованиям </t>
  </si>
  <si>
    <t>Муниципальная программа "Культура городского округа Домодедово на 2014-2016 годы" субсидия на повышение заработной платы работников муниципальных учреждений в сферах образования, культуры, физической культуры и спорта с 1 мая 2014 года и с 1 сентября 2014 года</t>
  </si>
  <si>
    <t xml:space="preserve">Субсидия на приобретение техники для нужд коммунального хозяйства </t>
  </si>
  <si>
    <t>Федеральная целевая программа "Жилище" на 2011-2015 годы" подпрограмма "Обеспечение жильем молодых семей" за счет средств федерального бюджета</t>
  </si>
  <si>
    <t>Федеральная целевая программа "Жилище" на 2011-2015 годы" подпрограмма "Обеспечение жильем молодых семей" за счет средств областного бюджета</t>
  </si>
  <si>
    <t>2 02 02051 00 0000 151</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</si>
  <si>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</si>
  <si>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</si>
  <si>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</si>
  <si>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1 11 05012 04 0000 120</t>
  </si>
  <si>
    <t>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t>
  </si>
  <si>
    <t>1 11 05020 00 0000 120</t>
  </si>
  <si>
    <t>Арендная плата и поступления от продажи права на заключение договоров аренды за земли, находящиеся в собственности городских округов</t>
  </si>
  <si>
    <t>1 11 05024 04 0000 120</t>
  </si>
  <si>
    <t>2 02 03069 00 0000 151</t>
  </si>
  <si>
    <t>Субвенции бюджетам городских округов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</si>
  <si>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2 02 03069 04 0000 151</t>
  </si>
  <si>
    <t>Центральный аппарат (обеспечение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ы муниципальных архивах)</t>
  </si>
  <si>
    <t>Прочие источники внутреннего финансирования дефицитов бюджетов</t>
  </si>
  <si>
    <t>440 99 03</t>
  </si>
  <si>
    <t xml:space="preserve">10 </t>
  </si>
  <si>
    <t>02</t>
  </si>
  <si>
    <t>Уменьшение остатков средств финансовых резервов бюджетов, размещенных в ценные бумаги</t>
  </si>
  <si>
    <t>017 01 05 01 02 04 0000 620</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</si>
  <si>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</si>
  <si>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из бюджета городского округа в валюте Российской Федерации</t>
  </si>
  <si>
    <t>Предоставление гражданам субсидий на оплату жилья и коммунальных услуг</t>
  </si>
  <si>
    <t>Муниципальная программа "Безопасность населения городского округа Домодедово на 2014-2016 годы"</t>
  </si>
  <si>
    <t>Уменьшение остатков средств финансовых резервов бюджетов городских округов, размещенных в ценные бумаги</t>
  </si>
  <si>
    <t>Уменьшение прочих остатков денежных средств бюджетов</t>
  </si>
  <si>
    <t>Уменьшение прочих остатков денежных средств бюджетов городских округов</t>
  </si>
  <si>
    <t>000 01 05 02 02 00 0000 620</t>
  </si>
  <si>
    <t>Уменьшение прочих остатков средств бюджетов, временно размещенных в ценные бумаги</t>
  </si>
  <si>
    <t>017 01 05 02 02 04 0000 620</t>
  </si>
  <si>
    <t>Уменьшение прочих остатков средств бюджетов городских округов, временно размещенных в ценные бумаги</t>
  </si>
  <si>
    <t>000 01 06 00 00 00 0000 500</t>
  </si>
  <si>
    <t>Увеличение финансовых активов, являющихся иными источниками внутреннего финансирования дефицитов бюджетов</t>
  </si>
  <si>
    <t>Целевая субсидия на организацию и осуществление мероприятий в сфере молодежной политики</t>
  </si>
  <si>
    <t>Подпрограмма "Развитие физической культуры и спорта в городском округе Домодедово на 2014-2016 годы" субсидия на повышение заработной платы работников муниципальных учреждений в сферах образования, культуры, физической культуры и спорта с 1 мая 2014 года и с 1 сентября 2014 года</t>
  </si>
  <si>
    <t>Увеличение остатков средств финансовых резервов бюджетов, размещенных в ценные бумаги</t>
  </si>
  <si>
    <t>017 01 05 01 02 04 0000 520</t>
  </si>
  <si>
    <t>460</t>
  </si>
  <si>
    <t>Субсидии на осуществление капитальных вложений бюджетным и автономным учреждениям, государственным (муниципальным) унитарным предприятиям</t>
  </si>
  <si>
    <t>Субсидии бюджету субъекта Российской Федерации из местных бюджетов в связи с превышением уровня расчетных налоговых доходов местных бюджетов</t>
  </si>
  <si>
    <t>015</t>
  </si>
  <si>
    <t>Комитет по культуре, делам молодежи и спорту</t>
  </si>
  <si>
    <t>016</t>
  </si>
  <si>
    <t>017</t>
  </si>
  <si>
    <t>Государственная пошлина за государственную регистрацию, а также за совершение прочих юридически значимых действий</t>
  </si>
  <si>
    <t>1 08 07000 01 0000 110</t>
  </si>
  <si>
    <t xml:space="preserve">Финансирование расходов на оплату труда работников школ- детских садов, школ начальных, неполных средних и средних,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t>
  </si>
  <si>
    <t>Охрана объектов растительного и  животного мира и среды их обитания</t>
  </si>
  <si>
    <t>09 2 5135</t>
  </si>
  <si>
    <t>Целевая субсидия на погашение кредиторской задолженности</t>
  </si>
  <si>
    <t>Целевая субсидия на изготовление памятника "Они погибли за Родину 1941-1945гг" в д. Острожки, Повадинского  административного округа</t>
  </si>
  <si>
    <t>831</t>
  </si>
  <si>
    <t>Иные бюджетные ассигнования</t>
  </si>
  <si>
    <t>800</t>
  </si>
  <si>
    <t>Специальные расходы</t>
  </si>
  <si>
    <t>880</t>
  </si>
  <si>
    <t>000 01 06 00 00 00 0000 600</t>
  </si>
  <si>
    <t>Уменьшение финансовых активов, являющихся иными источниками внутреннего финансирования дефицитов бюджетов</t>
  </si>
  <si>
    <t>120 01 06 01 00 04 0000 630</t>
  </si>
  <si>
    <t>Исполнение государственных и муниципальных гарантий</t>
  </si>
  <si>
    <t xml:space="preserve">200 </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</si>
  <si>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</si>
  <si>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Предоставление бюджетных кредитов юридическим лицам из бюджетов городских округов в валюте Российской Федерации</t>
  </si>
  <si>
    <t>000 01 06 06 00 00 0000 500</t>
  </si>
  <si>
    <t>Увеличение прочих источников финансирования дефицитов бюджетов за счет иных финансовых активов</t>
  </si>
  <si>
    <t>Другие вопросы в области охраны окружающей среды</t>
  </si>
  <si>
    <t>Природоохранные мероприятия</t>
  </si>
  <si>
    <t>000</t>
  </si>
  <si>
    <t>Итого непрограммных расходов</t>
  </si>
  <si>
    <t>12 2 6142</t>
  </si>
  <si>
    <t>расходы для осуществления полномочий по вопросам местного значения</t>
  </si>
  <si>
    <t>Код ФКР</t>
  </si>
  <si>
    <t>Резервные фонды</t>
  </si>
  <si>
    <t>12 Г 5392</t>
  </si>
  <si>
    <t>Приложение № 4</t>
  </si>
  <si>
    <t>Приложение № 8</t>
  </si>
  <si>
    <t>от  17.12.2013   №  1-4/553</t>
  </si>
  <si>
    <t xml:space="preserve">Целевая субсидия на приобретение, установку и перенос контейнерных площадок </t>
  </si>
  <si>
    <t>Целевая субсидия на приобретение лицензионного программного обеспечения и оргтехники</t>
  </si>
  <si>
    <t>04 1 2624</t>
  </si>
  <si>
    <t>Муниципальная  программа "Сельское хозяйство городского округа Домодедово Московской области на 2014-2016 годы"</t>
  </si>
  <si>
    <t>Непрограммные расходы бюджета городского округа</t>
  </si>
  <si>
    <t>Обеспечение пожарной безопасности</t>
  </si>
  <si>
    <t>Реализация других функций, связанных с обеспечением национальной безопасности и правоохранительной деятельности</t>
  </si>
  <si>
    <t>247 99 00</t>
  </si>
  <si>
    <t>Ведомственная структура</t>
  </si>
  <si>
    <t>Код</t>
  </si>
  <si>
    <t>019</t>
  </si>
  <si>
    <t>Подпрограмма "Обеспечение деятельности Совета депутатов городского округа Домодедово на 2014-2016 годы"</t>
  </si>
  <si>
    <t>Подпрограмма "Развитие информационно-коммуникационных технологий городского округа Домодедово на 2014-2016 годы"</t>
  </si>
  <si>
    <t>99 0 0440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</si>
  <si>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</si>
  <si>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Муниципальная  программа "Развитие жилищно-коммунального хозяйства на 2014-2016 годы"</t>
  </si>
  <si>
    <t>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также дополнительного образования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выплату ежемесячной денежной компенсации педагогическим работникам в целях содействия их обеспечению книгоиздательской продукцией и периодическими изданиями</t>
  </si>
  <si>
    <t>03 6 0000</t>
  </si>
  <si>
    <t>03 6 6214</t>
  </si>
  <si>
    <t>1 11 05000 00 0000 120</t>
  </si>
  <si>
    <t>Целевая субсидия на приобретение и установку мачт флакштоков с флагами на Олимпийскую аллею</t>
  </si>
  <si>
    <t>Земельный налог, взимаемый по ставкам, установленным в соответствии с подпунктом 2 пункта 1 статьи 394 НК РФ и применяемым к объектам налогообложения, расположенным в границах городских округов</t>
  </si>
  <si>
    <t>1 06 06022 04 0000 110</t>
  </si>
  <si>
    <t>ГОСУДАРСТВЕННАЯ ПОШЛИНА</t>
  </si>
  <si>
    <t>1 08 00000 00 0000 000</t>
  </si>
  <si>
    <t>Государственная пошлина по делам, рассматриваемым в судах общей юрисдикции, мировыми судьями</t>
  </si>
  <si>
    <t>1 08 03000 01 0000 110</t>
  </si>
  <si>
    <t>Государственная пошлина по делам, рассматриваемым в судах общей юрисдикции, мировыми судьями (за исключением  Верховного Суда РФ)</t>
  </si>
  <si>
    <t>1 08 03010 01 0000 110</t>
  </si>
  <si>
    <t>03 4 6044</t>
  </si>
  <si>
    <t>02 2 6044</t>
  </si>
  <si>
    <t>03 4 6219</t>
  </si>
  <si>
    <t>02 0 6044</t>
  </si>
  <si>
    <t>02 1 6044</t>
  </si>
  <si>
    <t>02 4 6044</t>
  </si>
  <si>
    <t>05 1 6044</t>
  </si>
  <si>
    <t>Выплата единовременной материальной помощи гражданам пострадавшим от радиационных воздействий*</t>
  </si>
  <si>
    <t>Международное сотрудничество</t>
  </si>
  <si>
    <t xml:space="preserve">Целевая субсидия бюджетным  учреждениям на мероприятия по организации оздоровительной кампании детей </t>
  </si>
  <si>
    <t>Субсидии бюджетам городских округов на государственную поддержку внедрения комплексных мер модернизации образования</t>
  </si>
  <si>
    <t>2 02 02042 04 0000 151</t>
  </si>
  <si>
    <t>Субсидии бюджетам на комплектование книжных фондов библиотек муниципальных образований и государственных библиотек городов Москвы и Санкт-Петербурга</t>
  </si>
  <si>
    <t>2 02 02068 00 0000 151</t>
  </si>
  <si>
    <t xml:space="preserve">Субсидии бюджетам городских округов на комплектование книжных фондов библиотек муниципальных образований </t>
  </si>
  <si>
    <t>2 02 02068 04 0000 151</t>
  </si>
  <si>
    <t>Субсидии бюджетам на бюджетные инвестиции в объекты капитального строительства государственной собственности (объекты капитального строительства  собственности муниципальных образований)</t>
  </si>
  <si>
    <t>2 02 02077 00 0000 151</t>
  </si>
  <si>
    <t>Субсидии бюджетам городских округов на бюджетные инвестиции в объекты капитального строительства собственности муниципальных образований</t>
  </si>
  <si>
    <t>2 02 02077 04 0000 151</t>
  </si>
  <si>
    <t>2 02 02051 04 0000 151</t>
  </si>
  <si>
    <t>09 0 0000</t>
  </si>
  <si>
    <t>Подпрограмма "Обеспечение деятельности управления здравоохранения городского округа Домодедово на 2014-2016 годы"</t>
  </si>
  <si>
    <t>01 4 0000</t>
  </si>
  <si>
    <t>01 4 9204</t>
  </si>
  <si>
    <t>01 4 9295</t>
  </si>
  <si>
    <t>Организация оказания медицинской помощи на территории муниципальных образований (аппарат)</t>
  </si>
  <si>
    <t>Обеспечение деятельности подведомственных учреждений (МБУЗ "ЦОУЗ")</t>
  </si>
  <si>
    <t>01 4 9901</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</si>
  <si>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</si>
  <si>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1 11 07014 04 0000 120</t>
  </si>
  <si>
    <t>Подпрограмма "Развитие общего образования в городском округе Домодедово на 2014-2016 год" субсидия на повышение заработной платы работников  муниципальных учреждений в сфере образования, культуры, физической культуры и спорта с 01 мая 2014 года и 01 сентября 2014 года</t>
  </si>
  <si>
    <t>Плата за размещение отходов производства и потребления</t>
  </si>
  <si>
    <t>1 12 01 040 01 0000 120</t>
  </si>
  <si>
    <t>ДОХОДЫ ОТ ОКАЗАНИЯ ПЛАТНЫХ УСЛУГ (РАБОТ) И КОМПЕНСАЦИИ ЗАТРАТ ГОСУДАРСТВА</t>
  </si>
  <si>
    <t>1 13 00000 00 0000 000</t>
  </si>
  <si>
    <t>Доходы от оказания платных услуг (работ)</t>
  </si>
  <si>
    <t>1 13 01000 00 0000 130</t>
  </si>
  <si>
    <t>Прочие доходы  от оказания платных услуг (работ) получателями средств бюджетов городских округов</t>
  </si>
  <si>
    <t>1 13 01994 04 0000 130</t>
  </si>
  <si>
    <t>Увеличение прочих остатков средств бюджетов, временно размещенных в ценные бумаги</t>
  </si>
  <si>
    <t>017 01 05 02 02 04 0000 520</t>
  </si>
  <si>
    <t>Размещение муниципальных ценных бумаг городских округов, номинальная стоимость которых указана в валюте Российской Федерации</t>
  </si>
  <si>
    <t>000 01 01 00 00 00 0000 800</t>
  </si>
  <si>
    <t>Выплата вознаграждения за выполнение функций классного руководителя педагогическим работникам муниципальных образовательных организаций</t>
  </si>
  <si>
    <t>Подпрограмма "Содействие занятости населения городского округа Домодедово на 2014-2016 годы"</t>
  </si>
  <si>
    <t>Подпрограмма "Профилактика преступлений и иных правонарушений на территории городского округа Домодедово на  2014-2016 годы"</t>
  </si>
  <si>
    <t>08 1 0000</t>
  </si>
  <si>
    <t>08 1 2502</t>
  </si>
  <si>
    <t>Подпрограмма "Санитарное содержание, благоустройство и озеленение городского округа Домодедово на 2014-2016 годы"</t>
  </si>
  <si>
    <t>10 0 0000</t>
  </si>
  <si>
    <t>10 5 0000</t>
  </si>
  <si>
    <t>10 5 2292</t>
  </si>
  <si>
    <t>14 0 0000</t>
  </si>
  <si>
    <t>Подпрограмма "Развитие библиотечного дела в городском округе Домодедово на 2014-2016 годы"</t>
  </si>
  <si>
    <t>02 1 0000</t>
  </si>
  <si>
    <t>410</t>
  </si>
  <si>
    <t>414</t>
  </si>
  <si>
    <t>02 4 0000</t>
  </si>
  <si>
    <t>02 4 8002</t>
  </si>
  <si>
    <t>02 4 8452</t>
  </si>
  <si>
    <t xml:space="preserve">Исполнение судебных актов </t>
  </si>
  <si>
    <t>830</t>
  </si>
  <si>
    <t>Расходы на выплату персоналу государственных (муниципальных) органов</t>
  </si>
  <si>
    <t xml:space="preserve">Субсидии бюджетным учреждениям на выполнение муниципального задания </t>
  </si>
  <si>
    <t xml:space="preserve">Субсидии автономным учреждениям на выполнение муниципального задания </t>
  </si>
  <si>
    <t>Подпрограмма "Укрепление материально-технической базы учреждений здравоохранения городского округа Домодедово на 2014-2016 годы"</t>
  </si>
  <si>
    <t>01 3 0000</t>
  </si>
  <si>
    <t xml:space="preserve">09 </t>
  </si>
  <si>
    <t>01 3 9130</t>
  </si>
  <si>
    <t>Подпрограмма "Развитие первичной медико-санитарной помощи на 2014-2016 годы"</t>
  </si>
  <si>
    <t>01 1 9111</t>
  </si>
  <si>
    <t>01 1 6207</t>
  </si>
  <si>
    <t>01 1 6208</t>
  </si>
  <si>
    <t>Субвенции бюджетам городских округов на ежемесячное денежное вознаграждение за классное руководство</t>
  </si>
  <si>
    <t>2 02 03021 04 0000 151</t>
  </si>
  <si>
    <t>Получение кредитов от кредитных организаций бюджетом городского округа в валюте Российской Федерации</t>
  </si>
  <si>
    <t>000 01 02 00 00 00 0000 800</t>
  </si>
  <si>
    <t>Подпрограмма "Развитие системы информирования населения городского округа Домодедово о деятельности органов муниципальной власти городского округа Домодедово на 2014-2016 годы"</t>
  </si>
  <si>
    <t>000 01 06 01 00 00 0000 000</t>
  </si>
  <si>
    <t>Акции и иные формы участия в капитале, находящиеся в государственной и муниципальной собственности</t>
  </si>
  <si>
    <t>12 2 2204</t>
  </si>
  <si>
    <t>12 5 0000</t>
  </si>
  <si>
    <t>Денежные взыскания (штрафы) за административные правонарушения в области дорожного движения</t>
  </si>
  <si>
    <t>1 16 30000 01 0000 140</t>
  </si>
  <si>
    <t xml:space="preserve">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t>
  </si>
  <si>
    <t>000 01 05 02 01 00 0000 610</t>
  </si>
  <si>
    <t>Руководство и управление в сфере установленных функций органов государственной власти субъектов РФ и органов местного самоуправления</t>
  </si>
  <si>
    <t>СОЦИАЛЬНАЯ ПОЛИТИКА</t>
  </si>
  <si>
    <t>НАЦИОНАЛЬНАЯ БЕЗОПАСНОСТЬ И ПРАВООХРАНИТЕЛЬНАЯ ДЕЯТЕЛЬНОСТЬ</t>
  </si>
  <si>
    <t>240</t>
  </si>
  <si>
    <t>00</t>
  </si>
  <si>
    <t>06</t>
  </si>
  <si>
    <t>05</t>
  </si>
  <si>
    <t>10</t>
  </si>
  <si>
    <t>07</t>
  </si>
  <si>
    <t>09</t>
  </si>
  <si>
    <t>03</t>
  </si>
  <si>
    <t>ЖИЛИЩНО-КОММУНАЛЬНОЕ ХОЗЯЙСТВО</t>
  </si>
  <si>
    <t>12</t>
  </si>
  <si>
    <t>Составление (изменение и дополнение) списков кандидатов в присяжные заседатели  федеральных судов общей юрисдикции в Российской Федерации</t>
  </si>
  <si>
    <t>410 00 00</t>
  </si>
  <si>
    <t>000 01 06 06 00 00 0000 000</t>
  </si>
  <si>
    <t>Заготовка, переработка, хранение и обеспечение безопасности донорской крови и ее компонентов</t>
  </si>
  <si>
    <t>Обеспечение деятельности подведомственных учреждений</t>
  </si>
  <si>
    <t>09 3 1082</t>
  </si>
  <si>
    <t xml:space="preserve">Подпрограмма "Обеспечение жильем детей-сирот и детей , оставшихся без попечения родителей, а также лиц из их числа" </t>
  </si>
  <si>
    <t>09 3 0000</t>
  </si>
  <si>
    <t>Подпрограмма "Укрепление материально-технической базы учреждений культуры, искуства, спорта городского округа Домодедово на 2014-2016 годы"</t>
  </si>
  <si>
    <t>02 3 8440</t>
  </si>
  <si>
    <t>Выплата единовременной материальной помощи инвалидам всех категорий в рамках проведения Дня инвалида*</t>
  </si>
  <si>
    <t>Мероприятия по обеспечению жильем молодых семей и молодых специалистов, проживающих и работающих в сельской местности, за счет средств  бюджета городского округа</t>
  </si>
  <si>
    <t>Счетная палата городского округа Домодедово Московской области</t>
  </si>
  <si>
    <t>Молодежная политика и оздоровление детей</t>
  </si>
  <si>
    <t>Общее образование</t>
  </si>
  <si>
    <t>Подпрограмма "Обеспечение деятельности МКУ "Управление нежилых помещений" на 2014-2016 годы"</t>
  </si>
  <si>
    <t xml:space="preserve">Прочие межбюджетные трансферты общего характера </t>
  </si>
  <si>
    <t xml:space="preserve">КУЛЬТУРА, КИНЕМАТОГРАФИЯ </t>
  </si>
  <si>
    <t>Выплата единовременной материальной помощи гражданам, находящимся в трудной жизненной ситуации*</t>
  </si>
  <si>
    <t>Иные закупки  товаров, работ и  услуг для муниципальных нужд, втом числе:</t>
  </si>
  <si>
    <t>Взнос в уставной капиталл муниципальных унитарных предприятий</t>
  </si>
  <si>
    <t>Увеличение иных финансовых активов в собственности городских округов</t>
  </si>
  <si>
    <t>017 01 06 06 01 04 0000 550</t>
  </si>
  <si>
    <t>000 01 06 06 00 00 0000 600</t>
  </si>
  <si>
    <t>Увеличение остатков средств финансовых резервов бюджетов городских округов, размещенных в ценные бумаги</t>
  </si>
  <si>
    <t>Увеличение прочих остатков денежных средств бюджетов городских округов</t>
  </si>
  <si>
    <t>000 01 05 02 02 00 0000 520</t>
  </si>
  <si>
    <t>10 2 2508</t>
  </si>
  <si>
    <t>Софинансирование расходов на участие в государственной программе Московской области "Развитие ЖКХ в 2014-2018 гг." на приобретение техники для коммунальных услуг</t>
  </si>
  <si>
    <t>Целевая субсидия на топогеодезические работы земельного участка аллеи 40-летия Победы вдоль ул. Советская г. Домодедово</t>
  </si>
  <si>
    <t>Центральный аппарат (обеспечение полномочий в сфере образования и организации деятельности комиссий по делам несовершеннолетних и защите их прав городов и районов)</t>
  </si>
  <si>
    <t>13 0 0000</t>
  </si>
  <si>
    <t>Муниципальная программа городского округа Домодедово "Образование городского округа Домодедово на 2014-2016 годы"</t>
  </si>
  <si>
    <t>03 0 0000</t>
  </si>
  <si>
    <t>Подпрограмма "Развитие дошкольного образования, в том числе сокращение очередности в дошкольных образовательных учреждениях в городском округе Домодедово на 2014-2016 годы"</t>
  </si>
  <si>
    <t>03 1 6211</t>
  </si>
  <si>
    <t>03 1 6212</t>
  </si>
  <si>
    <t>08 4 2247</t>
  </si>
  <si>
    <t>Финансовое обеспечение получения гражданами дошкольного образования в частных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</si>
  <si>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03 1 7120</t>
  </si>
  <si>
    <t>03 2 0000</t>
  </si>
  <si>
    <t>03 2 6220</t>
  </si>
  <si>
    <t>Субсидии бюджетным  учреждениям на иные цели</t>
  </si>
  <si>
    <t>Субсидии автономным учреждениям на иные цели</t>
  </si>
  <si>
    <t>03 2 6222</t>
  </si>
  <si>
    <t>03 2 6223</t>
  </si>
  <si>
    <t>Источники внутреннего финансирования дефицита бюджета</t>
  </si>
  <si>
    <t>Погашение муниципальных ценных бумаг городских округов, номинальная стоимость которых указана в валюте Российской Федерации</t>
  </si>
  <si>
    <t>000 01 03 01 00 00 0000 700</t>
  </si>
  <si>
    <t>Получение бюджетных кредитов от других бюджетов бюджетной системы Российской Федерации в валюте Российской Федерации</t>
  </si>
  <si>
    <t>017 01 03 01 00 04 0000 710</t>
  </si>
  <si>
    <t>000 01 03 01 00 00 0000 800</t>
  </si>
  <si>
    <t>017 01 03 01 00 04 0000 810</t>
  </si>
  <si>
    <t>Подпрограмма "Развитие дополнительного образования в сфере культуры и искусства в городском округе Домодедово на 2014-2016 годы" субсидия на повышение заработной платы работников муниципальных учреждений в сферах образования, культуры, физической культуры и спорта с 1 мая 2014 года и с 1 сентября 2014 года</t>
  </si>
  <si>
    <t>Подпрограмма "Развитие библиотечного дела в городском округе Домодедово на 2014-2016 годы" субсидия на повышение заработной платы работников муниципальных учреждений в сферах образования, культуры, физической культуры и спорта с 1 мая 2014 года и с 1 сентября 2014 года</t>
  </si>
  <si>
    <t>Целевая субсидия на приобретение оборудования</t>
  </si>
  <si>
    <t>11 0 0000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</si>
  <si>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</si>
  <si>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1 11 05034 04 0000 120</t>
  </si>
  <si>
    <t>Платежи от государственных и муниципальных унитарных предприятий</t>
  </si>
  <si>
    <t>1 11 07000 00 0000 120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</si>
  <si>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</si>
  <si>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1 11 07010 00 0000 120</t>
  </si>
  <si>
    <t>Программа "Развитие жилищно-коммунального хозяйства на 2014-2016 годы"</t>
  </si>
  <si>
    <t>10 5 2011</t>
  </si>
  <si>
    <t>11 1 0000</t>
  </si>
  <si>
    <t>11 1 2507</t>
  </si>
  <si>
    <t>Выплата единовременной материальной помощи по медицинским показаниям*</t>
  </si>
  <si>
    <t>Организация и содержание мест захоронения</t>
  </si>
  <si>
    <t>Управление образования</t>
  </si>
  <si>
    <t>Субвенции бюджетам городских округов на денежные выплаты медицинскому персоналу фельдшерско-акушерских пунктов, врачам, фельдшерам и медицинским сестрам скорой медицинской помощи</t>
  </si>
  <si>
    <t>2 02 03055 04 0000 151</t>
  </si>
  <si>
    <t>Субвенции бюджетам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</si>
  <si>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Межбюджетные трансферты, передаваемые бюджетам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t>
  </si>
  <si>
    <t>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</si>
  <si>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Устройство детских игровых и спортивных площадок на территории городского округа Домодедово на 2012-2015 годы</t>
  </si>
  <si>
    <t>Целевая субсидия на услуги по подготовке документации для проведения аукциона на строительство МБДОУ д/с № 23 в г. Домодедово мкр. Западный на 250 мест</t>
  </si>
  <si>
    <t>Целевая субсидия на технологическое присоединение к электрическим сетям МБДОУ д/с № 23 в г. Домодедово мкр. Западный на 250 мест</t>
  </si>
  <si>
    <t>Подпрограмма "Проектно-информационное обеспечение градостроительной деятельности городского округа Домодедово на 2014-2016 годы"</t>
  </si>
  <si>
    <t>Частичная компенсация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Отдельные мероприятия в области автомобильного транспорта (прочие расходы) средства областного бюджета</t>
  </si>
  <si>
    <t>14 3 6110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</si>
  <si>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</si>
  <si>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1 11 09044 04 0000 120</t>
  </si>
  <si>
    <t>ПЛАТЕЖИ ПРИ ПОЛЬЗОВАНИИ ПРИРОДНЫМИ РЕСУРСАМИ</t>
  </si>
  <si>
    <t>1 12 00000 00 0000 000</t>
  </si>
  <si>
    <t>Плата за негативное воздействие на окружающую среду</t>
  </si>
  <si>
    <t>1 12 01000 01 0000 120</t>
  </si>
  <si>
    <t>Плата за выбросы загрязняющих веществ в атмосферный воздух стационарными объектами</t>
  </si>
  <si>
    <t>1 12 01 010 01 0000 120</t>
  </si>
  <si>
    <t>Плата за выбросы загрязняющих веществ в атмосферный воздух передвижными объектами</t>
  </si>
  <si>
    <t>1 12 01 020 01 0000 120</t>
  </si>
  <si>
    <t>12 8 2514</t>
  </si>
  <si>
    <t>Муниципальная программа  "Развитие и функционирование дорожно-транспортного комплекса на 2014-2016 годы"</t>
  </si>
  <si>
    <t>Муниципальная программа  "Культура городского округа Домодедово на 2014-2016 годы"</t>
  </si>
  <si>
    <t>12 Г 6065</t>
  </si>
  <si>
    <t>Субсидии бюджетам городских округов на реализацию комплексных программ поддержки развития дошкольных образовательных учреждений в субъектах Российской Федерации</t>
  </si>
  <si>
    <t>2 02 02141 04 0000 151</t>
  </si>
  <si>
    <t>Прочие субсидии</t>
  </si>
  <si>
    <t>2 02 02999 00 0000 151</t>
  </si>
  <si>
    <t>Прочие субсидии бюджетам городских округов</t>
  </si>
  <si>
    <t>2 02 02999 04 0000 151</t>
  </si>
  <si>
    <t>Субвенции бюджетам субъектов РФ и муниципальных образований</t>
  </si>
  <si>
    <t>2 02 03000 00 0000 151</t>
  </si>
  <si>
    <t>Субвенции бюджетам на осуществление полномочий по подготовке проведения статистических переписей</t>
  </si>
  <si>
    <t>2 02 03002 00 0000 151</t>
  </si>
  <si>
    <t>Субвенции бюджетам городских округов на осуществление полномочий по подготовке проведения статистических переписей</t>
  </si>
  <si>
    <t>2 02 03002 04 0000 151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</si>
  <si>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</si>
  <si>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2 02 03007 00 0000 151</t>
  </si>
  <si>
    <t>Целевая субсидия на мероприятия по проведению капитального, текущего ремонта, ремонта и установке ограждений, ремонта кровель, замену оконных конструкций, выполнению противопожарных мероприятий в муниципальных общеобразовательных организациях</t>
  </si>
  <si>
    <t xml:space="preserve">Целевая субсидия на мероприятия по организации оздоровительной кампании детей </t>
  </si>
  <si>
    <t>Целевая субсидия на мероприятия по организации оздоровительной кампании детей</t>
  </si>
  <si>
    <t>Исполнение судебных актов РФ и мировых соглашений по возмещению вреда, причиненного в результате незаконных действий (бездействия) органов гос. власти (гос. органов) либо должностных лиц этих органов, а также в результате деятельности казенных учреждений</t>
  </si>
  <si>
    <t>Целевая субсидия на технологическое присоединение к детскому саду на 120 мест в микрорайоне Востряково</t>
  </si>
  <si>
    <t>Субсидии автономным учреждениям на выполнение муниципального задания</t>
  </si>
  <si>
    <t>Размещение государственных (муниципальных) ценных бумаг, номинальная стоимость которых указана в валюте Российской Федерации</t>
  </si>
  <si>
    <t>017 01 01 00 00  04 0000 710</t>
  </si>
  <si>
    <t>09 5 0000</t>
  </si>
  <si>
    <t>09 5 2506</t>
  </si>
  <si>
    <t>Целевая субсидия на устройство футбольного поля, водоотведение футбольного поля, трибун футбольного поля, ограждения футбольного поля ГС "Авангард"</t>
  </si>
  <si>
    <r>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t>
    </r>
    <r>
      <rPr>
        <vertAlign val="superscript"/>
        <sz val="9"/>
        <rFont val="Times New Roman Cyr"/>
        <family val="0"/>
      </rPr>
      <t>1</t>
    </r>
    <r>
      <rPr>
        <sz val="9"/>
        <rFont val="Times New Roman Cyr"/>
        <family val="1"/>
      </rPr>
      <t xml:space="preserve"> Налогового кодекса Российской Федерации</t>
    </r>
  </si>
  <si>
    <t>1 01 02040 01 0000 110</t>
  </si>
  <si>
    <t>НАЛОГИ НА ТОВАРЫ (РАБОТЫ, УСЛУГИ), РЕАЛИЗУЕМЫЕ НА ТЕРРИТОРИИ РОССИЙСКОЙ ФЕДЕРАЦИИ</t>
  </si>
  <si>
    <t>1 03 00000 00 0000 000</t>
  </si>
  <si>
    <t>Акцизы по подакцизным товарам (продукции), производимым на территории Российской Федерации</t>
  </si>
  <si>
    <t>1 03 02000 01 0000 110</t>
  </si>
  <si>
    <t>1 03 02230 01 0000 110</t>
  </si>
  <si>
    <t>1 03 02240 01 0000 110</t>
  </si>
  <si>
    <t>1 03 02250 01 0000 110</t>
  </si>
  <si>
    <t>1 03 02260 01 0000 110</t>
  </si>
  <si>
    <t>НАЛОГИ НА СОВОКУПНЫЙ ДОХОД</t>
  </si>
  <si>
    <t>1 05 00000 00 0000 000</t>
  </si>
  <si>
    <t xml:space="preserve">Налог, взимаемый в связи с применением упрощенной системы налогообложения </t>
  </si>
  <si>
    <t>1 05 01000 00 0000 110</t>
  </si>
  <si>
    <t>Налог, взимаемый с налогоплательщиков, выбравших в качестве объекта налогообложения доходы</t>
  </si>
  <si>
    <t>1 05 01010 01 0000 110</t>
  </si>
  <si>
    <t>1 05 01011 01 0000 110</t>
  </si>
  <si>
    <t>Обеспечение мероприятий по капитальному ремонту внутридворовых территорий (средства муниципального дорожного фонда)</t>
  </si>
  <si>
    <t>Субсидии на реализацию мероприятий по содействию занятости населения  по содействию занятости населения по организации временного трудоустройства несовершеннолетних граждан в возрасте от 14 до 18 лет</t>
  </si>
  <si>
    <t>Субсидии на осуществление капитальных вложений в объекты капитального строительства государственной (муниципальной) собственности государственным (муниципальным) унитарным предприятиям</t>
  </si>
  <si>
    <r>
      <t>Строительство  «Физкультурно-оздоровительного комплекса № 2» в составе городского стадиона «Авангард» по адресу: Московская область, г. Домодедово, микрорайон Северный,  ул. 2-я Коммунистическая, д. 2 (2-я очередь строительства)</t>
    </r>
    <r>
      <rPr>
        <sz val="9"/>
        <color indexed="10"/>
        <rFont val="Times New Roman Cyr"/>
        <family val="0"/>
      </rPr>
      <t xml:space="preserve"> (на авторский и технический надзор за строительством)</t>
    </r>
    <r>
      <rPr>
        <sz val="9"/>
        <rFont val="Times New Roman Cyr"/>
        <family val="0"/>
      </rPr>
      <t xml:space="preserve">
</t>
    </r>
  </si>
  <si>
    <t>Подпрограмма "Обеспечение жильем молодых семей городского округа Домодедово на 2014-2016 годы"</t>
  </si>
  <si>
    <t>09 1 0000</t>
  </si>
  <si>
    <t>09 1 2505</t>
  </si>
  <si>
    <t>Прочие поступления от денежных взысканий (штрафов) и иных сумм в возмещение ущерба</t>
  </si>
  <si>
    <t>1 16 90000 00 0000 140</t>
  </si>
  <si>
    <t>Прочие поступления от денежных взысканий (штрафов) и иных сумм в возмещение ущерба, зачисляемые в  бюджеты городских округов</t>
  </si>
  <si>
    <t>1 16 90040 04 0000 140</t>
  </si>
  <si>
    <t>ПРОЧИЕ НЕНАЛОГОВЫЕ ДОХОДЫ</t>
  </si>
  <si>
    <t>1 17 00000 00 0000 000</t>
  </si>
  <si>
    <t>Невыясненные поступления</t>
  </si>
  <si>
    <t>1 17 01000 00 0000 180</t>
  </si>
  <si>
    <t>Невыясненные поступления, зачисляемые в  бюджеты городских округов</t>
  </si>
  <si>
    <t>1 17 01040 04 0000 180</t>
  </si>
  <si>
    <t>Прочие неналоговые доходы</t>
  </si>
  <si>
    <t>1 17 05000 00 0000 180</t>
  </si>
  <si>
    <t>Прочие неналоговые доходы  бюджетов городских округов</t>
  </si>
  <si>
    <t>1 17 05040 04 0000 180</t>
  </si>
  <si>
    <t xml:space="preserve">Прочие неналоговые доходы </t>
  </si>
  <si>
    <t>1 17 05040 04 0001 180</t>
  </si>
  <si>
    <t>Целевая субсидия на софинансирование расходов на распространение современных моделей успешной социализации детей</t>
  </si>
  <si>
    <t>Государственная пошлина за выдачу разрешения на установку рекламной конструкции</t>
  </si>
  <si>
    <t xml:space="preserve">1 08 07150 01 0000 110 </t>
  </si>
  <si>
    <t xml:space="preserve">ЗАДОЛЖЕННОСТЬ И ПЕРЕРАСЧЕТЫ ПО ОТМЕНЕННЫМ НАЛОГАМ, СБОРАМ И ИНЫМ ОБЯЗАТЕЛЬНЫМ ПЛАТЕЖАМ </t>
  </si>
  <si>
    <t>1 09 00000 00 0000 000</t>
  </si>
  <si>
    <t xml:space="preserve">Налог на прибыль  организаций, зачислявшийся до 1 января 2005 года в местные бюджеты  </t>
  </si>
  <si>
    <t>1 09 01000 00 0000 110</t>
  </si>
  <si>
    <t xml:space="preserve">Налог на прибыль  организаций, зачислявшийся до 1 января 2005 года в местные бюджеты, мобилизуемый на территориях городских округов  </t>
  </si>
  <si>
    <t>1 09 01020 04 0000 110</t>
  </si>
  <si>
    <t>Налоги на имущество</t>
  </si>
  <si>
    <t>1 09 04000 00 0000 110</t>
  </si>
  <si>
    <t>Земельный налог (по обязательствам, возникшим до 1 января 2006 года)</t>
  </si>
  <si>
    <t>1 09 04050 00 0000 110</t>
  </si>
  <si>
    <t>Земельный налог (по обязательствам, возникшим до 1 января 2006 года), мобилизуемый на территориях городских округов</t>
  </si>
  <si>
    <t>1 09 04052 04 0000 110</t>
  </si>
  <si>
    <t>Прочие налоги и сборы (по отмененным налогам и сборам субъектов РФ)</t>
  </si>
  <si>
    <t>1 09 06000 02 0000 110</t>
  </si>
  <si>
    <t>Налог с продаж</t>
  </si>
  <si>
    <t>1 09 06010 02 0000 110</t>
  </si>
  <si>
    <t>Прочие налоги и сборы (по отмененным местным налогам и сборам)</t>
  </si>
  <si>
    <t>1 09 07000 00 0000 110</t>
  </si>
  <si>
    <t>Налог на рекламу</t>
  </si>
  <si>
    <t>1 09 07010 00 0000 110</t>
  </si>
  <si>
    <t xml:space="preserve">от  17.12.2014   № 1-4/626  </t>
  </si>
  <si>
    <t>от 17.12.2014  № 1-4/626</t>
  </si>
  <si>
    <t xml:space="preserve">                   от 17.12.2014  № 1-4/626   </t>
  </si>
  <si>
    <t xml:space="preserve">от  17.12.2014  № 1-4/626  </t>
  </si>
  <si>
    <t xml:space="preserve">от  17.12.2014  № 1-4/626   </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</si>
</sst>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_ ;\-#,##0.0\ "/>
    <numFmt numFmtId="167" formatCode="&quot;Да&quot;;&quot;Да&quot;;&quot;Нет&quot;"/>
    <numFmt numFmtId="168" formatCode="&quot;Истина&quot;;&quot;Истина&quot;;&quot;Ложь&quot;"/>
    <numFmt numFmtId="169" formatCode="&quot;Вкл&quot;;&quot;Вкл&quot;;&quot;Выкл&quot;"/>
    <numFmt numFmtId="170" formatCode="#,##0;[Red]#,##0"/>
    <numFmt numFmtId="171" formatCode="#,##0_ ;[Red]\-#,##0\ "/>
    <numFmt numFmtId="172" formatCode="#,##0.0_ ;[Red]\-#,##0.0\ "/>
    <numFmt numFmtId="173" formatCode="#,##0.00_ ;[Red]\-#,##0.00\ "/>
    <numFmt numFmtId="174" formatCode="0.0"/>
    <numFmt numFmtId="175" formatCode="_-* #,##0.0_р_._-;\-* #,##0.0_р_._-;_-* &quot;-&quot;??_р_._-;_-@_-"/>
    <numFmt numFmtId="176" formatCode="_-* #,##0_р_._-;\-* #,##0_р_._-;_-* &quot;-&quot;??_р_._-;_-@_-"/>
    <numFmt numFmtId="177" formatCode="[$€-2]\ ###,000_);[Red]\([$€-2]\ ###,000\)"/>
    <numFmt numFmtId="178" formatCode="0.000"/>
    <numFmt numFmtId="179" formatCode="[$-FC19]d\ mmmm\ yyyy\ &quot;г.&quot;"/>
    <numFmt numFmtId="180" formatCode="_-* #,##0.000_р_._-;\-* #,##0.000_р_._-;_-* &quot;-&quot;??_р_._-;_-@_-"/>
    <numFmt numFmtId="181" formatCode="#,##0.000"/>
    <numFmt numFmtId="182" formatCode="#,##0.0000"/>
  </numFmts>
  <fonts count="72">
    <font>
      <sz val="10"/>
      <name val="Arial Cyr"/>
      <family val="0"/>
    </font>
    <font>
      <u val="single"/>
      <sz val="10"/>
      <color indexed="12"/>
      <name val="Arial Cyr"/>
      <family val="0"/>
    </font>
    <font>
      <u val="single"/>
      <sz val="10"/>
      <color indexed="36"/>
      <name val="Arial Cyr"/>
      <family val="0"/>
    </font>
    <font>
      <sz val="12"/>
      <name val="Times New Roman Cyr"/>
      <family val="1"/>
    </font>
    <font>
      <b/>
      <sz val="12"/>
      <name val="Times New Roman Cyr"/>
      <family val="1"/>
    </font>
    <font>
      <b/>
      <sz val="10"/>
      <name val="Times New Roman Cyr"/>
      <family val="1"/>
    </font>
    <font>
      <sz val="9"/>
      <name val="Times New Roman Cyr"/>
      <family val="1"/>
    </font>
    <font>
      <sz val="8"/>
      <name val="Times New Roman Cyr"/>
      <family val="1"/>
    </font>
    <font>
      <b/>
      <sz val="9"/>
      <name val="Times New Roman Cyr"/>
      <family val="1"/>
    </font>
    <font>
      <sz val="10"/>
      <name val="Times New Roman Cyr"/>
      <family val="1"/>
    </font>
    <font>
      <sz val="10"/>
      <name val="Times New Roman"/>
      <family val="1"/>
    </font>
    <font>
      <i/>
      <sz val="9"/>
      <name val="Times New Roman Cyr"/>
      <family val="1"/>
    </font>
    <font>
      <sz val="12"/>
      <color indexed="12"/>
      <name val="Times New Roman Cyr"/>
      <family val="1"/>
    </font>
    <font>
      <b/>
      <sz val="12"/>
      <color indexed="12"/>
      <name val="Times New Roman Cyr"/>
      <family val="1"/>
    </font>
    <font>
      <b/>
      <sz val="8"/>
      <name val="Tahoma"/>
      <family val="2"/>
    </font>
    <font>
      <b/>
      <sz val="10"/>
      <name val="Tahoma"/>
      <family val="2"/>
    </font>
    <font>
      <sz val="12"/>
      <color indexed="9"/>
      <name val="Times New Roman Cyr"/>
      <family val="0"/>
    </font>
    <font>
      <sz val="9"/>
      <name val="Times New Roman"/>
      <family val="1"/>
    </font>
    <font>
      <i/>
      <sz val="12"/>
      <name val="Times New Roman Cyr"/>
      <family val="0"/>
    </font>
    <font>
      <b/>
      <sz val="10"/>
      <name val="Times New Roman"/>
      <family val="1"/>
    </font>
    <font>
      <sz val="8"/>
      <name val="Tahoma"/>
      <family val="2"/>
    </font>
    <font>
      <sz val="8"/>
      <name val="Arial Cyr"/>
      <family val="0"/>
    </font>
    <font>
      <b/>
      <sz val="10"/>
      <name val="Arial Cyr"/>
      <family val="0"/>
    </font>
    <font>
      <sz val="12"/>
      <color indexed="8"/>
      <name val="Times New Roman Cyr"/>
      <family val="1"/>
    </font>
    <font>
      <sz val="12"/>
      <color indexed="22"/>
      <name val="Times New Roman Cyr"/>
      <family val="0"/>
    </font>
    <font>
      <b/>
      <u val="single"/>
      <sz val="9"/>
      <name val="Times New Roman Cyr"/>
      <family val="0"/>
    </font>
    <font>
      <b/>
      <u val="single"/>
      <sz val="10"/>
      <name val="Times New Roman Cyr"/>
      <family val="0"/>
    </font>
    <font>
      <b/>
      <sz val="10"/>
      <color indexed="8"/>
      <name val="Times New Roman"/>
      <family val="1"/>
    </font>
    <font>
      <i/>
      <sz val="10"/>
      <color indexed="8"/>
      <name val="Times New Roman"/>
      <family val="1"/>
    </font>
    <font>
      <sz val="10"/>
      <color indexed="8"/>
      <name val="Times New Roman"/>
      <family val="1"/>
    </font>
    <font>
      <i/>
      <sz val="10"/>
      <name val="Times New Roman"/>
      <family val="1"/>
    </font>
    <font>
      <i/>
      <sz val="9"/>
      <name val="Times New Roman"/>
      <family val="1"/>
    </font>
    <font>
      <b/>
      <i/>
      <sz val="9"/>
      <name val="Times New Roman Cyr"/>
      <family val="0"/>
    </font>
    <font>
      <b/>
      <sz val="9"/>
      <name val="Times New Roman"/>
      <family val="1"/>
    </font>
    <font>
      <sz val="9"/>
      <color indexed="10"/>
      <name val="Times New Roman Cyr"/>
      <family val="0"/>
    </font>
    <font>
      <vertAlign val="superscript"/>
      <sz val="9"/>
      <name val="Times New Roman Cyr"/>
      <family val="0"/>
    </font>
    <font>
      <sz val="12"/>
      <color indexed="30"/>
      <name val="Times New Roman Cyr"/>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14"/>
        <bgColor indexed="64"/>
      </patternFill>
    </fill>
    <fill>
      <patternFill patternType="solid">
        <fgColor indexed="1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thin"/>
      <right style="medium"/>
      <top style="medium"/>
      <bottom style="mediu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hair"/>
      <right style="hair"/>
      <top style="medium"/>
      <bottom style="hair"/>
    </border>
    <border>
      <left style="thin"/>
      <right style="thin"/>
      <top style="thin"/>
      <bottom style="medium"/>
    </border>
    <border>
      <left style="thin"/>
      <right style="medium"/>
      <top style="thin"/>
      <bottom style="medium"/>
    </border>
    <border>
      <left style="hair"/>
      <right>
        <color indexed="63"/>
      </right>
      <top style="hair"/>
      <bottom style="hair"/>
    </border>
    <border>
      <left style="thin"/>
      <right style="thin"/>
      <top style="thin"/>
      <bottom style="thin"/>
    </border>
    <border>
      <left style="hair"/>
      <right>
        <color indexed="63"/>
      </right>
      <top>
        <color indexed="63"/>
      </top>
      <bottom style="hair"/>
    </border>
    <border>
      <left style="hair"/>
      <right style="hair"/>
      <top>
        <color indexed="63"/>
      </top>
      <bottom style="hair"/>
    </border>
    <border>
      <left style="hair"/>
      <right style="thin"/>
      <top>
        <color indexed="63"/>
      </top>
      <bottom style="hair"/>
    </border>
    <border>
      <left>
        <color indexed="63"/>
      </left>
      <right style="thin"/>
      <top>
        <color indexed="63"/>
      </top>
      <bottom style="hair"/>
    </border>
    <border>
      <left>
        <color indexed="63"/>
      </left>
      <right style="thin"/>
      <top style="hair"/>
      <bottom style="hair"/>
    </border>
    <border>
      <left style="thin"/>
      <right style="hair"/>
      <top style="hair"/>
      <bottom style="hair"/>
    </border>
    <border>
      <left style="hair"/>
      <right style="thin"/>
      <top style="hair"/>
      <bottom style="hair"/>
    </border>
    <border>
      <left style="thin"/>
      <right>
        <color indexed="63"/>
      </right>
      <top style="hair"/>
      <bottom style="hair"/>
    </border>
    <border>
      <left style="hair"/>
      <right style="hair"/>
      <top style="hair"/>
      <bottom>
        <color indexed="63"/>
      </bottom>
    </border>
    <border>
      <left>
        <color indexed="63"/>
      </left>
      <right style="thin"/>
      <top style="thin"/>
      <bottom style="thin"/>
    </border>
    <border>
      <left>
        <color indexed="63"/>
      </left>
      <right style="hair"/>
      <top style="hair"/>
      <bottom style="hair"/>
    </border>
    <border>
      <left style="hair"/>
      <right>
        <color indexed="63"/>
      </right>
      <top style="hair"/>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color indexed="63"/>
      </right>
      <top style="hair"/>
      <bottom style="hair"/>
    </border>
    <border>
      <left style="medium"/>
      <right style="thin"/>
      <top style="medium"/>
      <bottom>
        <color indexed="63"/>
      </bottom>
    </border>
    <border>
      <left style="medium"/>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color indexed="63"/>
      </left>
      <right style="medium"/>
      <top style="medium"/>
      <bottom style="thin"/>
    </border>
    <border>
      <left style="thin"/>
      <right>
        <color indexed="63"/>
      </right>
      <top>
        <color indexed="63"/>
      </top>
      <bottom style="hair"/>
    </border>
    <border>
      <left>
        <color indexed="63"/>
      </left>
      <right style="hair"/>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6" fillId="25" borderId="1" applyNumberFormat="0" applyAlignment="0" applyProtection="0"/>
    <xf numFmtId="0" fontId="57" fillId="26" borderId="2" applyNumberFormat="0" applyAlignment="0" applyProtection="0"/>
    <xf numFmtId="0" fontId="58" fillId="26"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7" borderId="7" applyNumberFormat="0" applyAlignment="0" applyProtection="0"/>
    <xf numFmtId="0" fontId="64" fillId="0" borderId="0" applyNumberFormat="0" applyFill="0" applyBorder="0" applyAlignment="0" applyProtection="0"/>
    <xf numFmtId="0" fontId="65" fillId="28" borderId="0" applyNumberFormat="0" applyBorder="0" applyAlignment="0" applyProtection="0"/>
    <xf numFmtId="0" fontId="3" fillId="0" borderId="0">
      <alignment/>
      <protection/>
    </xf>
    <xf numFmtId="0" fontId="2" fillId="0" borderId="0" applyNumberFormat="0" applyFill="0" applyBorder="0" applyAlignment="0" applyProtection="0"/>
    <xf numFmtId="0" fontId="66" fillId="29" borderId="0" applyNumberFormat="0" applyBorder="0" applyAlignment="0" applyProtection="0"/>
    <xf numFmtId="0" fontId="6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0" fillId="31" borderId="0" applyNumberFormat="0" applyBorder="0" applyAlignment="0" applyProtection="0"/>
  </cellStyleXfs>
  <cellXfs count="349">
    <xf numFmtId="0" fontId="0" fillId="0" borderId="0" xfId="0" applyAlignment="1">
      <alignment/>
    </xf>
    <xf numFmtId="0" fontId="10" fillId="0" borderId="0" xfId="0" applyFont="1" applyAlignment="1">
      <alignment/>
    </xf>
    <xf numFmtId="164" fontId="13" fillId="0" borderId="10" xfId="53" applyNumberFormat="1" applyFont="1" applyFill="1" applyBorder="1" applyAlignment="1" applyProtection="1">
      <alignment horizontal="right" vertical="center"/>
      <protection hidden="1"/>
    </xf>
    <xf numFmtId="0" fontId="9" fillId="0" borderId="0" xfId="0" applyFont="1" applyAlignment="1" applyProtection="1">
      <alignment/>
      <protection hidden="1"/>
    </xf>
    <xf numFmtId="49" fontId="9" fillId="0" borderId="0" xfId="0" applyNumberFormat="1" applyFont="1" applyAlignment="1" applyProtection="1">
      <alignment/>
      <protection hidden="1"/>
    </xf>
    <xf numFmtId="0" fontId="8" fillId="0" borderId="10" xfId="0" applyFont="1" applyBorder="1" applyAlignment="1" applyProtection="1">
      <alignment horizontal="left" wrapText="1"/>
      <protection hidden="1"/>
    </xf>
    <xf numFmtId="3" fontId="9" fillId="0" borderId="0" xfId="0" applyNumberFormat="1" applyFont="1" applyAlignment="1" applyProtection="1">
      <alignment/>
      <protection hidden="1"/>
    </xf>
    <xf numFmtId="0" fontId="3" fillId="0" borderId="0" xfId="53" applyFont="1" applyFill="1" applyAlignment="1" applyProtection="1">
      <alignment horizontal="center" vertical="center"/>
      <protection hidden="1"/>
    </xf>
    <xf numFmtId="49" fontId="3" fillId="0" borderId="0" xfId="53" applyNumberFormat="1" applyFont="1" applyFill="1" applyAlignment="1" applyProtection="1">
      <alignment horizontal="center" vertical="center"/>
      <protection hidden="1"/>
    </xf>
    <xf numFmtId="3" fontId="3" fillId="0" borderId="0" xfId="53" applyNumberFormat="1" applyFont="1" applyFill="1" applyAlignment="1" applyProtection="1">
      <alignment horizontal="center"/>
      <protection hidden="1"/>
    </xf>
    <xf numFmtId="49" fontId="9" fillId="0" borderId="0" xfId="53" applyNumberFormat="1" applyFont="1" applyFill="1" applyProtection="1">
      <alignment/>
      <protection hidden="1"/>
    </xf>
    <xf numFmtId="0" fontId="3" fillId="0" borderId="0" xfId="53" applyFont="1" applyFill="1" applyProtection="1">
      <alignment/>
      <protection hidden="1"/>
    </xf>
    <xf numFmtId="0" fontId="4" fillId="0" borderId="0" xfId="53" applyFont="1" applyFill="1" applyBorder="1" applyAlignment="1" applyProtection="1">
      <alignment horizontal="center" vertical="center"/>
      <protection hidden="1"/>
    </xf>
    <xf numFmtId="0" fontId="9" fillId="0" borderId="0" xfId="53" applyFont="1" applyFill="1" applyBorder="1" applyAlignment="1" applyProtection="1">
      <alignment horizontal="center" vertical="top"/>
      <protection hidden="1"/>
    </xf>
    <xf numFmtId="0" fontId="0" fillId="0" borderId="0" xfId="53" applyFont="1" applyFill="1" applyProtection="1">
      <alignment/>
      <protection hidden="1"/>
    </xf>
    <xf numFmtId="49" fontId="8" fillId="0" borderId="10" xfId="53" applyNumberFormat="1" applyFont="1" applyFill="1" applyBorder="1" applyAlignment="1" applyProtection="1">
      <alignment horizontal="center" vertical="center"/>
      <protection hidden="1"/>
    </xf>
    <xf numFmtId="3" fontId="3" fillId="0" borderId="0" xfId="53" applyNumberFormat="1" applyFont="1" applyFill="1" applyProtection="1">
      <alignment/>
      <protection hidden="1"/>
    </xf>
    <xf numFmtId="49" fontId="6" fillId="0" borderId="10" xfId="53" applyNumberFormat="1" applyFont="1" applyFill="1" applyBorder="1" applyAlignment="1" applyProtection="1">
      <alignment horizontal="center" wrapText="1"/>
      <protection hidden="1"/>
    </xf>
    <xf numFmtId="0" fontId="6" fillId="0" borderId="10" xfId="53" applyFont="1" applyFill="1" applyBorder="1" applyAlignment="1" applyProtection="1">
      <alignment horizontal="left" vertical="center" wrapText="1"/>
      <protection hidden="1"/>
    </xf>
    <xf numFmtId="164" fontId="12" fillId="0" borderId="10" xfId="53" applyNumberFormat="1" applyFont="1" applyFill="1" applyBorder="1" applyAlignment="1" applyProtection="1">
      <alignment horizontal="right"/>
      <protection hidden="1"/>
    </xf>
    <xf numFmtId="164" fontId="3" fillId="0" borderId="10" xfId="53" applyNumberFormat="1" applyFont="1" applyFill="1" applyBorder="1" applyAlignment="1" applyProtection="1">
      <alignment horizontal="right"/>
      <protection hidden="1"/>
    </xf>
    <xf numFmtId="49" fontId="8" fillId="0" borderId="10" xfId="53" applyNumberFormat="1" applyFont="1" applyFill="1" applyBorder="1" applyAlignment="1" applyProtection="1">
      <alignment horizontal="center" wrapText="1"/>
      <protection hidden="1"/>
    </xf>
    <xf numFmtId="164" fontId="13" fillId="0" borderId="10" xfId="53" applyNumberFormat="1" applyFont="1" applyFill="1" applyBorder="1" applyAlignment="1" applyProtection="1">
      <alignment horizontal="right"/>
      <protection hidden="1"/>
    </xf>
    <xf numFmtId="49" fontId="8" fillId="0" borderId="10" xfId="53" applyNumberFormat="1" applyFont="1" applyFill="1" applyBorder="1" applyAlignment="1" applyProtection="1">
      <alignment horizontal="center" vertical="center" wrapText="1"/>
      <protection hidden="1"/>
    </xf>
    <xf numFmtId="0" fontId="5" fillId="0" borderId="10" xfId="53" applyFont="1" applyFill="1" applyBorder="1" applyAlignment="1" applyProtection="1">
      <alignment horizontal="left" vertical="center" wrapText="1"/>
      <protection hidden="1"/>
    </xf>
    <xf numFmtId="49" fontId="8" fillId="0" borderId="10" xfId="53" applyNumberFormat="1" applyFont="1" applyFill="1" applyBorder="1" applyAlignment="1" applyProtection="1">
      <alignment horizontal="center"/>
      <protection hidden="1"/>
    </xf>
    <xf numFmtId="49" fontId="6" fillId="0" borderId="10" xfId="53" applyNumberFormat="1" applyFont="1" applyFill="1" applyBorder="1" applyAlignment="1" applyProtection="1">
      <alignment horizontal="center"/>
      <protection hidden="1"/>
    </xf>
    <xf numFmtId="49" fontId="6" fillId="0" borderId="10" xfId="53" applyNumberFormat="1" applyFont="1" applyFill="1" applyBorder="1" applyAlignment="1" applyProtection="1">
      <alignment horizontal="center" vertical="center" wrapText="1"/>
      <protection hidden="1"/>
    </xf>
    <xf numFmtId="49" fontId="8" fillId="0" borderId="10" xfId="53" applyNumberFormat="1" applyFont="1" applyFill="1" applyBorder="1" applyAlignment="1" applyProtection="1">
      <alignment horizontal="left" vertical="center" wrapText="1"/>
      <protection hidden="1"/>
    </xf>
    <xf numFmtId="0" fontId="6" fillId="0" borderId="10" xfId="0" applyFont="1" applyFill="1" applyBorder="1" applyAlignment="1" applyProtection="1">
      <alignment wrapText="1"/>
      <protection hidden="1"/>
    </xf>
    <xf numFmtId="164" fontId="12" fillId="0" borderId="10" xfId="53" applyNumberFormat="1" applyFont="1" applyFill="1" applyBorder="1" applyAlignment="1" applyProtection="1">
      <alignment horizontal="right" vertical="center"/>
      <protection hidden="1"/>
    </xf>
    <xf numFmtId="0" fontId="8" fillId="0" borderId="10" xfId="53" applyFont="1" applyFill="1" applyBorder="1" applyAlignment="1" applyProtection="1">
      <alignment horizontal="left" vertical="center" wrapText="1"/>
      <protection hidden="1"/>
    </xf>
    <xf numFmtId="0" fontId="11" fillId="0" borderId="10" xfId="53" applyFont="1" applyFill="1" applyBorder="1" applyAlignment="1" applyProtection="1">
      <alignment horizontal="left" vertical="center" wrapText="1"/>
      <protection hidden="1"/>
    </xf>
    <xf numFmtId="0" fontId="11" fillId="0" borderId="10" xfId="53" applyFont="1" applyFill="1" applyBorder="1" applyAlignment="1" applyProtection="1">
      <alignment horizontal="left" vertical="center" wrapText="1"/>
      <protection hidden="1"/>
    </xf>
    <xf numFmtId="49" fontId="6" fillId="0" borderId="10" xfId="53" applyNumberFormat="1" applyFont="1" applyFill="1" applyBorder="1" applyAlignment="1" applyProtection="1">
      <alignment horizontal="center" vertical="center" wrapText="1"/>
      <protection hidden="1"/>
    </xf>
    <xf numFmtId="164" fontId="12" fillId="0" borderId="10" xfId="53" applyNumberFormat="1" applyFont="1" applyFill="1" applyBorder="1" applyAlignment="1" applyProtection="1">
      <alignment horizontal="right" vertical="center"/>
      <protection hidden="1"/>
    </xf>
    <xf numFmtId="0" fontId="6" fillId="0" borderId="10" xfId="53" applyFont="1" applyFill="1" applyBorder="1" applyAlignment="1" applyProtection="1">
      <alignment horizontal="left" vertical="center" wrapText="1"/>
      <protection hidden="1"/>
    </xf>
    <xf numFmtId="0" fontId="11" fillId="0" borderId="10" xfId="0" applyFont="1" applyFill="1" applyBorder="1" applyAlignment="1" applyProtection="1">
      <alignment wrapText="1"/>
      <protection hidden="1"/>
    </xf>
    <xf numFmtId="164" fontId="3" fillId="0" borderId="10" xfId="53" applyNumberFormat="1" applyFont="1" applyFill="1" applyBorder="1" applyAlignment="1" applyProtection="1">
      <alignment horizontal="right" vertical="center"/>
      <protection hidden="1"/>
    </xf>
    <xf numFmtId="49" fontId="6" fillId="0" borderId="10" xfId="53" applyNumberFormat="1" applyFont="1" applyFill="1" applyBorder="1" applyAlignment="1" applyProtection="1">
      <alignment horizontal="left" wrapText="1"/>
      <protection hidden="1"/>
    </xf>
    <xf numFmtId="0" fontId="8" fillId="0" borderId="10" xfId="0" applyFont="1" applyFill="1" applyBorder="1" applyAlignment="1" applyProtection="1">
      <alignment wrapText="1"/>
      <protection hidden="1"/>
    </xf>
    <xf numFmtId="0" fontId="0" fillId="0" borderId="0" xfId="0" applyAlignment="1" applyProtection="1">
      <alignment/>
      <protection hidden="1"/>
    </xf>
    <xf numFmtId="3" fontId="6" fillId="0" borderId="11" xfId="53" applyNumberFormat="1" applyFont="1" applyFill="1" applyBorder="1" applyAlignment="1" applyProtection="1">
      <alignment horizontal="center" vertical="center"/>
      <protection hidden="1"/>
    </xf>
    <xf numFmtId="49" fontId="3" fillId="0" borderId="0" xfId="53" applyNumberFormat="1" applyFont="1" applyFill="1" applyProtection="1">
      <alignment/>
      <protection hidden="1"/>
    </xf>
    <xf numFmtId="0" fontId="6" fillId="0" borderId="12" xfId="53" applyFont="1" applyFill="1" applyBorder="1" applyAlignment="1" applyProtection="1">
      <alignment horizontal="right" vertical="center"/>
      <protection hidden="1"/>
    </xf>
    <xf numFmtId="0" fontId="6" fillId="0" borderId="13" xfId="53" applyFont="1" applyFill="1" applyBorder="1" applyAlignment="1" applyProtection="1">
      <alignment horizontal="center" vertical="center"/>
      <protection hidden="1"/>
    </xf>
    <xf numFmtId="49" fontId="6" fillId="0" borderId="14" xfId="53" applyNumberFormat="1" applyFont="1" applyFill="1" applyBorder="1" applyAlignment="1" applyProtection="1">
      <alignment horizontal="center" vertical="center" wrapText="1"/>
      <protection hidden="1"/>
    </xf>
    <xf numFmtId="0" fontId="5" fillId="4" borderId="15" xfId="53" applyFont="1" applyFill="1" applyBorder="1" applyAlignment="1" applyProtection="1">
      <alignment horizontal="left" vertical="center" wrapText="1"/>
      <protection hidden="1"/>
    </xf>
    <xf numFmtId="49" fontId="5" fillId="4" borderId="15" xfId="53" applyNumberFormat="1" applyFont="1" applyFill="1" applyBorder="1" applyAlignment="1" applyProtection="1">
      <alignment horizontal="center" vertical="center"/>
      <protection hidden="1"/>
    </xf>
    <xf numFmtId="164" fontId="4" fillId="4" borderId="15" xfId="53" applyNumberFormat="1" applyFont="1" applyFill="1" applyBorder="1" applyAlignment="1" applyProtection="1">
      <alignment horizontal="right" vertical="center"/>
      <protection hidden="1"/>
    </xf>
    <xf numFmtId="0" fontId="5" fillId="32" borderId="10" xfId="53" applyFont="1" applyFill="1" applyBorder="1" applyAlignment="1" applyProtection="1">
      <alignment horizontal="left" wrapText="1"/>
      <protection hidden="1"/>
    </xf>
    <xf numFmtId="49" fontId="8" fillId="32" borderId="10" xfId="53" applyNumberFormat="1" applyFont="1" applyFill="1" applyBorder="1" applyAlignment="1" applyProtection="1">
      <alignment horizontal="center" wrapText="1"/>
      <protection hidden="1"/>
    </xf>
    <xf numFmtId="164" fontId="4" fillId="32" borderId="10" xfId="53" applyNumberFormat="1" applyFont="1" applyFill="1" applyBorder="1" applyAlignment="1" applyProtection="1">
      <alignment horizontal="right"/>
      <protection hidden="1"/>
    </xf>
    <xf numFmtId="49" fontId="6" fillId="32" borderId="10" xfId="53" applyNumberFormat="1" applyFont="1" applyFill="1" applyBorder="1" applyAlignment="1" applyProtection="1">
      <alignment horizontal="center" wrapText="1"/>
      <protection hidden="1"/>
    </xf>
    <xf numFmtId="49" fontId="6" fillId="0" borderId="10" xfId="53" applyNumberFormat="1" applyFont="1" applyFill="1" applyBorder="1" applyAlignment="1" applyProtection="1">
      <alignment horizontal="center" wrapText="1"/>
      <protection hidden="1"/>
    </xf>
    <xf numFmtId="164" fontId="3" fillId="0" borderId="10" xfId="53" applyNumberFormat="1" applyFont="1" applyFill="1" applyBorder="1" applyAlignment="1" applyProtection="1">
      <alignment horizontal="right"/>
      <protection hidden="1"/>
    </xf>
    <xf numFmtId="0" fontId="9" fillId="0" borderId="10" xfId="53" applyFont="1" applyFill="1" applyBorder="1" applyAlignment="1" applyProtection="1">
      <alignment horizontal="left" vertical="center" wrapText="1"/>
      <protection hidden="1"/>
    </xf>
    <xf numFmtId="0" fontId="5" fillId="32" borderId="10" xfId="53" applyFont="1" applyFill="1" applyBorder="1" applyProtection="1">
      <alignment/>
      <protection hidden="1"/>
    </xf>
    <xf numFmtId="0" fontId="4" fillId="32" borderId="10" xfId="53" applyFont="1" applyFill="1" applyBorder="1" applyProtection="1">
      <alignment/>
      <protection hidden="1"/>
    </xf>
    <xf numFmtId="164" fontId="4" fillId="32" borderId="10" xfId="53" applyNumberFormat="1" applyFont="1" applyFill="1" applyBorder="1" applyProtection="1">
      <alignment/>
      <protection hidden="1"/>
    </xf>
    <xf numFmtId="0" fontId="9" fillId="0" borderId="10" xfId="53" applyFont="1" applyFill="1" applyBorder="1" applyAlignment="1" applyProtection="1">
      <alignment horizontal="left" vertical="center" wrapText="1"/>
      <protection hidden="1"/>
    </xf>
    <xf numFmtId="164" fontId="16" fillId="0" borderId="0" xfId="53" applyNumberFormat="1" applyFont="1" applyFill="1" applyProtection="1">
      <alignment/>
      <protection hidden="1"/>
    </xf>
    <xf numFmtId="164" fontId="3" fillId="0" borderId="10" xfId="0" applyNumberFormat="1" applyFont="1" applyFill="1" applyBorder="1" applyAlignment="1" applyProtection="1">
      <alignment horizontal="right"/>
      <protection hidden="1"/>
    </xf>
    <xf numFmtId="166" fontId="16" fillId="0" borderId="0" xfId="53" applyNumberFormat="1" applyFont="1" applyFill="1" applyProtection="1">
      <alignment/>
      <protection hidden="1"/>
    </xf>
    <xf numFmtId="0" fontId="6" fillId="0" borderId="10" xfId="0" applyFont="1" applyFill="1" applyBorder="1" applyAlignment="1" applyProtection="1">
      <alignment wrapText="1"/>
      <protection hidden="1"/>
    </xf>
    <xf numFmtId="0" fontId="18" fillId="0" borderId="0" xfId="53" applyFont="1" applyFill="1" applyProtection="1">
      <alignment/>
      <protection hidden="1"/>
    </xf>
    <xf numFmtId="164" fontId="3" fillId="33" borderId="10" xfId="53" applyNumberFormat="1" applyFont="1" applyFill="1" applyBorder="1" applyAlignment="1" applyProtection="1">
      <alignment horizontal="right"/>
      <protection hidden="1"/>
    </xf>
    <xf numFmtId="0" fontId="8" fillId="0" borderId="10" xfId="0" applyFont="1" applyFill="1" applyBorder="1" applyAlignment="1" applyProtection="1">
      <alignment wrapText="1"/>
      <protection hidden="1"/>
    </xf>
    <xf numFmtId="0" fontId="3" fillId="0" borderId="0" xfId="53" applyFont="1" applyFill="1" applyProtection="1">
      <alignment/>
      <protection hidden="1"/>
    </xf>
    <xf numFmtId="0" fontId="22" fillId="0" borderId="0" xfId="0" applyFont="1" applyAlignment="1" applyProtection="1">
      <alignment/>
      <protection hidden="1"/>
    </xf>
    <xf numFmtId="174" fontId="9" fillId="0" borderId="0" xfId="53" applyNumberFormat="1" applyFont="1" applyFill="1" applyProtection="1">
      <alignment/>
      <protection hidden="1"/>
    </xf>
    <xf numFmtId="174" fontId="12" fillId="0" borderId="10" xfId="0" applyNumberFormat="1" applyFont="1" applyFill="1" applyBorder="1" applyAlignment="1" applyProtection="1">
      <alignment/>
      <protection hidden="1"/>
    </xf>
    <xf numFmtId="0" fontId="3" fillId="34" borderId="0" xfId="53" applyFont="1" applyFill="1" applyProtection="1">
      <alignment/>
      <protection hidden="1"/>
    </xf>
    <xf numFmtId="3" fontId="3" fillId="34" borderId="0" xfId="53" applyNumberFormat="1" applyFont="1" applyFill="1" applyProtection="1">
      <alignment/>
      <protection hidden="1"/>
    </xf>
    <xf numFmtId="0" fontId="0" fillId="34" borderId="0" xfId="53" applyFont="1" applyFill="1" applyProtection="1">
      <alignment/>
      <protection hidden="1"/>
    </xf>
    <xf numFmtId="3" fontId="0" fillId="34" borderId="0" xfId="53" applyNumberFormat="1" applyFont="1" applyFill="1" applyProtection="1">
      <alignment/>
      <protection hidden="1"/>
    </xf>
    <xf numFmtId="164" fontId="3" fillId="0" borderId="0" xfId="53" applyNumberFormat="1" applyFont="1" applyFill="1" applyProtection="1">
      <alignment/>
      <protection hidden="1"/>
    </xf>
    <xf numFmtId="164" fontId="3" fillId="34" borderId="0" xfId="53" applyNumberFormat="1" applyFont="1" applyFill="1" applyProtection="1">
      <alignment/>
      <protection hidden="1"/>
    </xf>
    <xf numFmtId="0" fontId="8" fillId="0" borderId="10" xfId="53" applyFont="1" applyFill="1" applyBorder="1" applyAlignment="1" applyProtection="1">
      <alignment horizontal="left" vertical="center" wrapText="1"/>
      <protection hidden="1"/>
    </xf>
    <xf numFmtId="164" fontId="13" fillId="0" borderId="10" xfId="53" applyNumberFormat="1" applyFont="1" applyFill="1" applyBorder="1" applyAlignment="1" applyProtection="1">
      <alignment horizontal="right"/>
      <protection hidden="1"/>
    </xf>
    <xf numFmtId="164" fontId="23" fillId="0" borderId="10" xfId="53" applyNumberFormat="1" applyFont="1" applyFill="1" applyBorder="1" applyAlignment="1" applyProtection="1">
      <alignment horizontal="right"/>
      <protection hidden="1"/>
    </xf>
    <xf numFmtId="0" fontId="24" fillId="34" borderId="0" xfId="53" applyFont="1" applyFill="1" applyProtection="1">
      <alignment/>
      <protection hidden="1"/>
    </xf>
    <xf numFmtId="3" fontId="24" fillId="34" borderId="0" xfId="53" applyNumberFormat="1" applyFont="1" applyFill="1" applyProtection="1">
      <alignment/>
      <protection hidden="1"/>
    </xf>
    <xf numFmtId="0" fontId="18" fillId="34" borderId="0" xfId="53" applyFont="1" applyFill="1" applyProtection="1">
      <alignment/>
      <protection hidden="1"/>
    </xf>
    <xf numFmtId="3" fontId="18" fillId="34" borderId="0" xfId="53" applyNumberFormat="1" applyFont="1" applyFill="1" applyProtection="1">
      <alignment/>
      <protection hidden="1"/>
    </xf>
    <xf numFmtId="164" fontId="12" fillId="0" borderId="10" xfId="53" applyNumberFormat="1" applyFont="1" applyFill="1" applyBorder="1" applyAlignment="1" applyProtection="1">
      <alignment horizontal="right"/>
      <protection hidden="1"/>
    </xf>
    <xf numFmtId="0" fontId="3" fillId="34" borderId="0" xfId="53" applyFont="1" applyFill="1" applyProtection="1">
      <alignment/>
      <protection hidden="1"/>
    </xf>
    <xf numFmtId="174" fontId="10" fillId="0" borderId="0" xfId="0" applyNumberFormat="1" applyFont="1" applyFill="1" applyAlignment="1" applyProtection="1">
      <alignment horizontal="left"/>
      <protection hidden="1"/>
    </xf>
    <xf numFmtId="174" fontId="0" fillId="0" borderId="0" xfId="0" applyNumberFormat="1" applyFill="1" applyAlignment="1" applyProtection="1">
      <alignment/>
      <protection hidden="1"/>
    </xf>
    <xf numFmtId="164" fontId="12" fillId="0" borderId="10" xfId="0" applyNumberFormat="1" applyFont="1" applyFill="1" applyBorder="1" applyAlignment="1" applyProtection="1">
      <alignment/>
      <protection hidden="1"/>
    </xf>
    <xf numFmtId="164" fontId="3" fillId="0" borderId="10" xfId="0" applyNumberFormat="1" applyFont="1" applyFill="1" applyBorder="1" applyAlignment="1" applyProtection="1">
      <alignment/>
      <protection hidden="1"/>
    </xf>
    <xf numFmtId="164" fontId="13" fillId="0" borderId="10" xfId="0" applyNumberFormat="1" applyFont="1" applyFill="1" applyBorder="1" applyAlignment="1" applyProtection="1">
      <alignment/>
      <protection hidden="1"/>
    </xf>
    <xf numFmtId="178" fontId="12" fillId="0" borderId="10" xfId="0" applyNumberFormat="1" applyFont="1" applyFill="1" applyBorder="1" applyAlignment="1" applyProtection="1">
      <alignment/>
      <protection hidden="1"/>
    </xf>
    <xf numFmtId="0" fontId="26" fillId="0" borderId="10" xfId="53" applyFont="1" applyFill="1" applyBorder="1" applyAlignment="1" applyProtection="1">
      <alignment horizontal="left" vertical="center" wrapText="1"/>
      <protection hidden="1"/>
    </xf>
    <xf numFmtId="49" fontId="3" fillId="0" borderId="10" xfId="53" applyNumberFormat="1" applyFont="1" applyFill="1" applyBorder="1" applyAlignment="1" applyProtection="1">
      <alignment horizontal="center" vertical="center"/>
      <protection hidden="1"/>
    </xf>
    <xf numFmtId="164" fontId="4" fillId="0" borderId="10" xfId="53" applyNumberFormat="1" applyFont="1" applyFill="1" applyBorder="1" applyAlignment="1" applyProtection="1">
      <alignment horizontal="right"/>
      <protection hidden="1"/>
    </xf>
    <xf numFmtId="49" fontId="6" fillId="0" borderId="10" xfId="53" applyNumberFormat="1" applyFont="1" applyFill="1" applyBorder="1" applyAlignment="1" applyProtection="1">
      <alignment horizontal="center" vertical="center"/>
      <protection hidden="1"/>
    </xf>
    <xf numFmtId="0" fontId="6" fillId="0" borderId="0" xfId="53" applyFont="1" applyFill="1" applyBorder="1" applyAlignment="1" applyProtection="1">
      <alignment horizontal="left" vertical="center" wrapText="1"/>
      <protection hidden="1"/>
    </xf>
    <xf numFmtId="49" fontId="6" fillId="0" borderId="0" xfId="53" applyNumberFormat="1" applyFont="1" applyFill="1" applyBorder="1" applyAlignment="1" applyProtection="1">
      <alignment horizontal="center" wrapText="1"/>
      <protection hidden="1"/>
    </xf>
    <xf numFmtId="164" fontId="3" fillId="0" borderId="0" xfId="53" applyNumberFormat="1" applyFont="1" applyFill="1" applyBorder="1" applyAlignment="1" applyProtection="1">
      <alignment horizontal="right"/>
      <protection hidden="1"/>
    </xf>
    <xf numFmtId="0" fontId="0" fillId="0" borderId="0" xfId="0" applyFill="1" applyAlignment="1">
      <alignment/>
    </xf>
    <xf numFmtId="49" fontId="6" fillId="0" borderId="0" xfId="53" applyNumberFormat="1" applyFont="1" applyFill="1" applyBorder="1" applyAlignment="1" applyProtection="1">
      <alignment horizontal="center" vertical="center"/>
      <protection hidden="1"/>
    </xf>
    <xf numFmtId="174" fontId="9" fillId="0" borderId="0" xfId="0" applyNumberFormat="1" applyFont="1" applyFill="1" applyBorder="1" applyAlignment="1" applyProtection="1">
      <alignment horizontal="right"/>
      <protection hidden="1"/>
    </xf>
    <xf numFmtId="0" fontId="10" fillId="0" borderId="0" xfId="0" applyFont="1" applyFill="1" applyAlignment="1" applyProtection="1">
      <alignment/>
      <protection hidden="1"/>
    </xf>
    <xf numFmtId="49" fontId="7" fillId="0" borderId="16" xfId="53" applyNumberFormat="1" applyFont="1" applyFill="1" applyBorder="1" applyAlignment="1" applyProtection="1">
      <alignment horizontal="center" vertical="center" wrapText="1"/>
      <protection hidden="1"/>
    </xf>
    <xf numFmtId="0" fontId="7" fillId="0" borderId="16" xfId="53" applyFont="1" applyFill="1" applyBorder="1" applyAlignment="1" applyProtection="1">
      <alignment horizontal="center" vertical="center" wrapText="1"/>
      <protection hidden="1"/>
    </xf>
    <xf numFmtId="0" fontId="7" fillId="0" borderId="17" xfId="53" applyFont="1" applyFill="1" applyBorder="1" applyAlignment="1" applyProtection="1">
      <alignment horizontal="center" vertical="center" wrapText="1"/>
      <protection hidden="1"/>
    </xf>
    <xf numFmtId="0" fontId="3" fillId="0" borderId="0" xfId="53" applyFont="1" applyFill="1" applyBorder="1" applyAlignment="1" applyProtection="1">
      <alignment horizontal="center" vertical="center"/>
      <protection hidden="1"/>
    </xf>
    <xf numFmtId="164" fontId="23" fillId="34" borderId="0" xfId="53" applyNumberFormat="1" applyFont="1" applyFill="1" applyProtection="1">
      <alignment/>
      <protection hidden="1"/>
    </xf>
    <xf numFmtId="0" fontId="19" fillId="0" borderId="10" xfId="0" applyFont="1" applyBorder="1" applyAlignment="1" applyProtection="1">
      <alignment horizontal="center" vertical="top" wrapText="1"/>
      <protection hidden="1"/>
    </xf>
    <xf numFmtId="0" fontId="27" fillId="0" borderId="10" xfId="0" applyFont="1" applyBorder="1" applyAlignment="1" applyProtection="1">
      <alignment horizontal="justify" vertical="top" wrapText="1"/>
      <protection hidden="1"/>
    </xf>
    <xf numFmtId="0" fontId="28" fillId="0" borderId="10" xfId="0" applyFont="1" applyBorder="1" applyAlignment="1" applyProtection="1">
      <alignment horizontal="justify" vertical="top" wrapText="1"/>
      <protection hidden="1"/>
    </xf>
    <xf numFmtId="0" fontId="29" fillId="0" borderId="10" xfId="0" applyFont="1" applyBorder="1" applyAlignment="1" applyProtection="1">
      <alignment horizontal="justify" vertical="top" wrapText="1"/>
      <protection hidden="1"/>
    </xf>
    <xf numFmtId="0" fontId="10" fillId="0" borderId="10" xfId="0" applyFont="1" applyBorder="1" applyAlignment="1" applyProtection="1">
      <alignment horizontal="justify" vertical="top" wrapText="1"/>
      <protection hidden="1"/>
    </xf>
    <xf numFmtId="0" fontId="19" fillId="0" borderId="10" xfId="0" applyFont="1" applyBorder="1" applyAlignment="1" applyProtection="1">
      <alignment horizontal="justify" vertical="top" wrapText="1"/>
      <protection hidden="1"/>
    </xf>
    <xf numFmtId="0" fontId="30" fillId="0" borderId="10" xfId="0" applyFont="1" applyBorder="1" applyAlignment="1" applyProtection="1">
      <alignment horizontal="justify" vertical="top" wrapText="1"/>
      <protection hidden="1"/>
    </xf>
    <xf numFmtId="0" fontId="10" fillId="0" borderId="10" xfId="0" applyFont="1" applyBorder="1" applyAlignment="1" applyProtection="1">
      <alignment horizontal="justify" vertical="top" wrapText="1"/>
      <protection hidden="1"/>
    </xf>
    <xf numFmtId="0" fontId="28" fillId="0" borderId="10" xfId="0" applyFont="1" applyBorder="1" applyAlignment="1" applyProtection="1">
      <alignment horizontal="justify" vertical="top" wrapText="1"/>
      <protection hidden="1"/>
    </xf>
    <xf numFmtId="0" fontId="10" fillId="0" borderId="10" xfId="0" applyFont="1" applyBorder="1" applyAlignment="1" applyProtection="1">
      <alignment horizontal="center" vertical="top" wrapText="1"/>
      <protection hidden="1"/>
    </xf>
    <xf numFmtId="0" fontId="10" fillId="0" borderId="18" xfId="0" applyFont="1" applyBorder="1" applyAlignment="1" applyProtection="1">
      <alignment horizontal="center" vertical="top" wrapText="1"/>
      <protection hidden="1"/>
    </xf>
    <xf numFmtId="0" fontId="19" fillId="0" borderId="18" xfId="0" applyFont="1" applyBorder="1" applyAlignment="1" applyProtection="1">
      <alignment horizontal="center" vertical="top" wrapText="1"/>
      <protection hidden="1"/>
    </xf>
    <xf numFmtId="0" fontId="10" fillId="0" borderId="18" xfId="0" applyFont="1" applyBorder="1" applyAlignment="1" applyProtection="1">
      <alignment horizontal="left" vertical="top" wrapText="1"/>
      <protection hidden="1"/>
    </xf>
    <xf numFmtId="0" fontId="27" fillId="0" borderId="10" xfId="0" applyFont="1" applyBorder="1" applyAlignment="1" applyProtection="1">
      <alignment vertical="top" wrapText="1"/>
      <protection hidden="1"/>
    </xf>
    <xf numFmtId="0" fontId="30" fillId="0" borderId="10" xfId="0" applyFont="1" applyBorder="1" applyAlignment="1" applyProtection="1">
      <alignment vertical="top" wrapText="1"/>
      <protection hidden="1"/>
    </xf>
    <xf numFmtId="0" fontId="10" fillId="0" borderId="10" xfId="0" applyFont="1" applyBorder="1" applyAlignment="1" applyProtection="1">
      <alignment vertical="top" wrapText="1"/>
      <protection hidden="1"/>
    </xf>
    <xf numFmtId="0" fontId="19" fillId="0" borderId="10" xfId="0" applyFont="1" applyBorder="1" applyAlignment="1" applyProtection="1">
      <alignment horizontal="justify" vertical="top" wrapText="1"/>
      <protection hidden="1"/>
    </xf>
    <xf numFmtId="4" fontId="3" fillId="0" borderId="0" xfId="53" applyNumberFormat="1" applyFont="1" applyFill="1" applyProtection="1">
      <alignment/>
      <protection hidden="1"/>
    </xf>
    <xf numFmtId="0" fontId="10" fillId="0" borderId="0" xfId="0" applyFont="1" applyFill="1" applyAlignment="1" applyProtection="1">
      <alignment horizontal="left"/>
      <protection hidden="1"/>
    </xf>
    <xf numFmtId="4" fontId="3" fillId="34" borderId="0" xfId="53" applyNumberFormat="1" applyFont="1" applyFill="1" applyProtection="1">
      <alignment/>
      <protection hidden="1"/>
    </xf>
    <xf numFmtId="0" fontId="6" fillId="0" borderId="10" xfId="0" applyFont="1" applyBorder="1" applyAlignment="1" applyProtection="1">
      <alignment horizontal="left" wrapText="1"/>
      <protection hidden="1"/>
    </xf>
    <xf numFmtId="0" fontId="8" fillId="0" borderId="10" xfId="0" applyFont="1" applyFill="1" applyBorder="1" applyAlignment="1" applyProtection="1">
      <alignment horizontal="left" wrapText="1"/>
      <protection hidden="1"/>
    </xf>
    <xf numFmtId="0" fontId="10" fillId="0" borderId="19" xfId="0" applyFont="1" applyBorder="1" applyAlignment="1" applyProtection="1">
      <alignment horizontal="center" vertical="top" wrapText="1"/>
      <protection hidden="1"/>
    </xf>
    <xf numFmtId="0" fontId="17" fillId="0" borderId="10" xfId="0" applyFont="1" applyFill="1" applyBorder="1" applyAlignment="1">
      <alignment vertical="center" wrapText="1"/>
    </xf>
    <xf numFmtId="0" fontId="9" fillId="0" borderId="0" xfId="0" applyFont="1" applyBorder="1" applyAlignment="1" applyProtection="1">
      <alignment/>
      <protection hidden="1"/>
    </xf>
    <xf numFmtId="0" fontId="10" fillId="0" borderId="19" xfId="0" applyFont="1" applyBorder="1" applyAlignment="1" applyProtection="1">
      <alignment horizontal="center" vertical="center" wrapText="1"/>
      <protection hidden="1"/>
    </xf>
    <xf numFmtId="174" fontId="9" fillId="0" borderId="19" xfId="53" applyNumberFormat="1" applyFont="1" applyFill="1" applyBorder="1" applyAlignment="1" applyProtection="1">
      <alignment horizontal="center" vertical="center"/>
      <protection hidden="1"/>
    </xf>
    <xf numFmtId="0" fontId="19" fillId="0" borderId="20" xfId="0" applyFont="1" applyBorder="1" applyAlignment="1" applyProtection="1">
      <alignment horizontal="center" vertical="top" wrapText="1"/>
      <protection hidden="1"/>
    </xf>
    <xf numFmtId="0" fontId="19" fillId="0" borderId="21" xfId="0" applyFont="1" applyBorder="1" applyAlignment="1" applyProtection="1">
      <alignment horizontal="justify" vertical="top" wrapText="1"/>
      <protection hidden="1"/>
    </xf>
    <xf numFmtId="164" fontId="12" fillId="0" borderId="21" xfId="0" applyNumberFormat="1" applyFont="1" applyFill="1" applyBorder="1" applyAlignment="1" applyProtection="1">
      <alignment/>
      <protection hidden="1"/>
    </xf>
    <xf numFmtId="164" fontId="4" fillId="0" borderId="22" xfId="53" applyNumberFormat="1" applyFont="1" applyFill="1" applyBorder="1" applyAlignment="1" applyProtection="1">
      <alignment horizontal="right" vertical="center"/>
      <protection hidden="1"/>
    </xf>
    <xf numFmtId="164" fontId="4" fillId="0" borderId="23" xfId="53" applyNumberFormat="1" applyFont="1" applyFill="1" applyBorder="1" applyAlignment="1" applyProtection="1">
      <alignment horizontal="right" vertical="center"/>
      <protection hidden="1"/>
    </xf>
    <xf numFmtId="164" fontId="13" fillId="0" borderId="24" xfId="53" applyNumberFormat="1" applyFont="1" applyFill="1" applyBorder="1" applyAlignment="1" applyProtection="1">
      <alignment horizontal="right" vertical="center"/>
      <protection hidden="1"/>
    </xf>
    <xf numFmtId="0" fontId="19" fillId="0" borderId="25" xfId="0" applyFont="1" applyBorder="1" applyAlignment="1" applyProtection="1">
      <alignment horizontal="center" vertical="top" wrapText="1"/>
      <protection hidden="1"/>
    </xf>
    <xf numFmtId="164" fontId="12" fillId="0" borderId="26" xfId="0" applyNumberFormat="1" applyFont="1" applyFill="1" applyBorder="1" applyAlignment="1" applyProtection="1">
      <alignment/>
      <protection hidden="1"/>
    </xf>
    <xf numFmtId="0" fontId="10" fillId="0" borderId="25" xfId="0" applyFont="1" applyBorder="1" applyAlignment="1" applyProtection="1">
      <alignment horizontal="center" vertical="top" wrapText="1"/>
      <protection hidden="1"/>
    </xf>
    <xf numFmtId="164" fontId="12" fillId="0" borderId="26" xfId="0" applyNumberFormat="1" applyFont="1" applyFill="1" applyBorder="1" applyAlignment="1" applyProtection="1">
      <alignment horizontal="right"/>
      <protection hidden="1"/>
    </xf>
    <xf numFmtId="164" fontId="3" fillId="0" borderId="26" xfId="0" applyNumberFormat="1" applyFont="1" applyFill="1" applyBorder="1" applyAlignment="1" applyProtection="1">
      <alignment horizontal="right"/>
      <protection hidden="1"/>
    </xf>
    <xf numFmtId="164" fontId="3" fillId="0" borderId="26" xfId="0" applyNumberFormat="1" applyFont="1" applyFill="1" applyBorder="1" applyAlignment="1" applyProtection="1">
      <alignment/>
      <protection hidden="1"/>
    </xf>
    <xf numFmtId="0" fontId="19" fillId="0" borderId="25" xfId="0" applyFont="1" applyBorder="1" applyAlignment="1" applyProtection="1">
      <alignment horizontal="center" vertical="top" wrapText="1"/>
      <protection hidden="1"/>
    </xf>
    <xf numFmtId="164" fontId="12" fillId="0" borderId="26" xfId="0" applyNumberFormat="1" applyFont="1" applyFill="1" applyBorder="1" applyAlignment="1" applyProtection="1">
      <alignment/>
      <protection hidden="1"/>
    </xf>
    <xf numFmtId="0" fontId="10" fillId="0" borderId="25" xfId="0" applyFont="1" applyBorder="1" applyAlignment="1" applyProtection="1">
      <alignment horizontal="center" vertical="top" wrapText="1"/>
      <protection hidden="1"/>
    </xf>
    <xf numFmtId="164" fontId="12" fillId="0" borderId="23" xfId="53" applyNumberFormat="1" applyFont="1" applyFill="1" applyBorder="1" applyAlignment="1" applyProtection="1">
      <alignment horizontal="right" vertical="center"/>
      <protection hidden="1"/>
    </xf>
    <xf numFmtId="0" fontId="10" fillId="0" borderId="27" xfId="0" applyFont="1" applyBorder="1" applyAlignment="1" applyProtection="1">
      <alignment horizontal="center" vertical="top" wrapText="1"/>
      <protection hidden="1"/>
    </xf>
    <xf numFmtId="0" fontId="3" fillId="0" borderId="10" xfId="53" applyFont="1" applyFill="1" applyBorder="1" applyProtection="1">
      <alignment/>
      <protection hidden="1"/>
    </xf>
    <xf numFmtId="0" fontId="5" fillId="0" borderId="28" xfId="53" applyFont="1" applyFill="1" applyBorder="1" applyAlignment="1" applyProtection="1">
      <alignment horizontal="left" vertical="center"/>
      <protection hidden="1"/>
    </xf>
    <xf numFmtId="49" fontId="8" fillId="0" borderId="28" xfId="53" applyNumberFormat="1" applyFont="1" applyFill="1" applyBorder="1" applyAlignment="1" applyProtection="1">
      <alignment horizontal="center" vertical="center"/>
      <protection hidden="1"/>
    </xf>
    <xf numFmtId="0" fontId="5" fillId="0" borderId="10" xfId="53" applyFont="1" applyFill="1" applyBorder="1" applyAlignment="1" applyProtection="1">
      <alignment horizontal="left" wrapText="1"/>
      <protection hidden="1"/>
    </xf>
    <xf numFmtId="0" fontId="8" fillId="0" borderId="10" xfId="53" applyFont="1" applyFill="1" applyBorder="1" applyAlignment="1" applyProtection="1">
      <alignment horizontal="left" wrapText="1"/>
      <protection hidden="1"/>
    </xf>
    <xf numFmtId="0" fontId="6" fillId="0" borderId="10" xfId="53" applyFont="1" applyFill="1" applyBorder="1" applyAlignment="1" applyProtection="1">
      <alignment horizontal="left" wrapText="1"/>
      <protection hidden="1"/>
    </xf>
    <xf numFmtId="0" fontId="6" fillId="0" borderId="10" xfId="53" applyFont="1" applyFill="1" applyBorder="1" applyAlignment="1" applyProtection="1">
      <alignment horizontal="left" wrapText="1"/>
      <protection hidden="1"/>
    </xf>
    <xf numFmtId="0" fontId="9" fillId="0" borderId="10" xfId="53" applyFont="1" applyFill="1" applyBorder="1" applyAlignment="1" applyProtection="1">
      <alignment horizontal="left" wrapText="1"/>
      <protection hidden="1"/>
    </xf>
    <xf numFmtId="0" fontId="6" fillId="0" borderId="10" xfId="0" applyFont="1" applyBorder="1" applyAlignment="1" applyProtection="1">
      <alignment horizontal="left" vertical="center" wrapText="1"/>
      <protection hidden="1"/>
    </xf>
    <xf numFmtId="0" fontId="6" fillId="0" borderId="10" xfId="0" applyFont="1" applyBorder="1" applyAlignment="1" applyProtection="1">
      <alignment horizontal="left" vertical="center" wrapText="1"/>
      <protection hidden="1"/>
    </xf>
    <xf numFmtId="0" fontId="6" fillId="0" borderId="10" xfId="53" applyFont="1" applyFill="1" applyBorder="1" applyAlignment="1" applyProtection="1">
      <alignment horizontal="center"/>
      <protection hidden="1"/>
    </xf>
    <xf numFmtId="174" fontId="10" fillId="0" borderId="29" xfId="0" applyNumberFormat="1" applyFont="1" applyFill="1" applyBorder="1" applyAlignment="1" applyProtection="1">
      <alignment horizontal="left"/>
      <protection hidden="1"/>
    </xf>
    <xf numFmtId="0" fontId="0" fillId="0" borderId="0" xfId="0" applyBorder="1" applyAlignment="1" applyProtection="1">
      <alignment/>
      <protection hidden="1"/>
    </xf>
    <xf numFmtId="174" fontId="9" fillId="0" borderId="0" xfId="53" applyNumberFormat="1" applyFont="1" applyFill="1" applyBorder="1" applyAlignment="1" applyProtection="1">
      <alignment/>
      <protection hidden="1"/>
    </xf>
    <xf numFmtId="174" fontId="10" fillId="0" borderId="0" xfId="0" applyNumberFormat="1" applyFont="1" applyFill="1" applyBorder="1" applyAlignment="1" applyProtection="1">
      <alignment/>
      <protection hidden="1"/>
    </xf>
    <xf numFmtId="181" fontId="3" fillId="34" borderId="0" xfId="53" applyNumberFormat="1" applyFont="1" applyFill="1" applyProtection="1">
      <alignment/>
      <protection hidden="1"/>
    </xf>
    <xf numFmtId="0" fontId="6" fillId="0" borderId="0" xfId="0" applyFont="1" applyFill="1" applyBorder="1" applyAlignment="1">
      <alignment wrapText="1"/>
    </xf>
    <xf numFmtId="0" fontId="6" fillId="0" borderId="0" xfId="0" applyFont="1" applyAlignment="1">
      <alignment horizontal="left" wrapText="1"/>
    </xf>
    <xf numFmtId="49" fontId="6" fillId="0" borderId="21" xfId="53" applyNumberFormat="1" applyFont="1" applyFill="1" applyBorder="1" applyAlignment="1" applyProtection="1">
      <alignment horizontal="center" wrapText="1"/>
      <protection hidden="1"/>
    </xf>
    <xf numFmtId="49" fontId="6" fillId="0" borderId="30" xfId="53" applyNumberFormat="1" applyFont="1" applyFill="1" applyBorder="1" applyAlignment="1" applyProtection="1">
      <alignment horizontal="center" wrapText="1"/>
      <protection hidden="1"/>
    </xf>
    <xf numFmtId="0" fontId="6" fillId="0" borderId="10" xfId="0" applyFont="1" applyBorder="1" applyAlignment="1">
      <alignment wrapText="1"/>
    </xf>
    <xf numFmtId="0" fontId="6" fillId="0" borderId="10" xfId="0" applyFont="1" applyFill="1" applyBorder="1" applyAlignment="1" quotePrefix="1">
      <alignment horizontal="right"/>
    </xf>
    <xf numFmtId="0" fontId="6" fillId="0" borderId="10" xfId="0" applyFont="1" applyFill="1" applyBorder="1" applyAlignment="1">
      <alignment horizontal="center"/>
    </xf>
    <xf numFmtId="3" fontId="6" fillId="0" borderId="10" xfId="0" applyNumberFormat="1" applyFont="1" applyFill="1" applyBorder="1" applyAlignment="1">
      <alignment horizontal="center"/>
    </xf>
    <xf numFmtId="0" fontId="11" fillId="0" borderId="10" xfId="0" applyFont="1" applyBorder="1" applyAlignment="1">
      <alignment wrapText="1"/>
    </xf>
    <xf numFmtId="0" fontId="6" fillId="0" borderId="30" xfId="0" applyFont="1" applyFill="1" applyBorder="1" applyAlignment="1">
      <alignment horizontal="left" wrapText="1"/>
    </xf>
    <xf numFmtId="0" fontId="6" fillId="0" borderId="10" xfId="0" applyFont="1" applyFill="1" applyBorder="1" applyAlignment="1">
      <alignment horizontal="left" wrapText="1"/>
    </xf>
    <xf numFmtId="0" fontId="17" fillId="0" borderId="10" xfId="0" applyFont="1" applyBorder="1" applyAlignment="1">
      <alignment wrapText="1"/>
    </xf>
    <xf numFmtId="0" fontId="8" fillId="0" borderId="28" xfId="53" applyFont="1" applyFill="1" applyBorder="1" applyAlignment="1" applyProtection="1">
      <alignment horizontal="left" vertical="center" wrapText="1"/>
      <protection hidden="1"/>
    </xf>
    <xf numFmtId="0" fontId="6" fillId="0" borderId="21" xfId="53" applyFont="1" applyFill="1" applyBorder="1" applyAlignment="1" applyProtection="1">
      <alignment horizontal="left" vertical="center" wrapText="1"/>
      <protection hidden="1"/>
    </xf>
    <xf numFmtId="0" fontId="31" fillId="0" borderId="10" xfId="0" applyFont="1" applyFill="1" applyBorder="1" applyAlignment="1">
      <alignment horizontal="left" vertical="center" wrapText="1"/>
    </xf>
    <xf numFmtId="164" fontId="12" fillId="33" borderId="10" xfId="53" applyNumberFormat="1" applyFont="1" applyFill="1" applyBorder="1" applyAlignment="1" applyProtection="1">
      <alignment horizontal="right"/>
      <protection hidden="1"/>
    </xf>
    <xf numFmtId="164" fontId="12" fillId="0" borderId="30" xfId="53" applyNumberFormat="1" applyFont="1" applyFill="1" applyBorder="1" applyAlignment="1" applyProtection="1">
      <alignment horizontal="right"/>
      <protection hidden="1"/>
    </xf>
    <xf numFmtId="0" fontId="6" fillId="0" borderId="28" xfId="53" applyFont="1" applyFill="1" applyBorder="1" applyAlignment="1" applyProtection="1">
      <alignment horizontal="left" vertical="center" wrapText="1"/>
      <protection hidden="1"/>
    </xf>
    <xf numFmtId="49" fontId="6" fillId="0" borderId="28" xfId="53" applyNumberFormat="1" applyFont="1" applyFill="1" applyBorder="1" applyAlignment="1" applyProtection="1">
      <alignment horizontal="center" wrapText="1"/>
      <protection hidden="1"/>
    </xf>
    <xf numFmtId="49" fontId="6" fillId="0" borderId="28" xfId="53" applyNumberFormat="1" applyFont="1" applyFill="1" applyBorder="1" applyAlignment="1" applyProtection="1">
      <alignment horizontal="left" wrapText="1"/>
      <protection hidden="1"/>
    </xf>
    <xf numFmtId="164" fontId="12" fillId="0" borderId="28" xfId="53" applyNumberFormat="1" applyFont="1" applyFill="1" applyBorder="1" applyAlignment="1" applyProtection="1">
      <alignment horizontal="right"/>
      <protection hidden="1"/>
    </xf>
    <xf numFmtId="0" fontId="6" fillId="0" borderId="10" xfId="53" applyFont="1" applyFill="1" applyBorder="1" applyAlignment="1" applyProtection="1">
      <alignment horizontal="left" vertical="center" wrapText="1" shrinkToFit="1"/>
      <protection hidden="1"/>
    </xf>
    <xf numFmtId="49" fontId="6" fillId="0" borderId="10" xfId="53" applyNumberFormat="1" applyFont="1" applyFill="1" applyBorder="1" applyAlignment="1" applyProtection="1">
      <alignment horizontal="left" wrapText="1"/>
      <protection hidden="1"/>
    </xf>
    <xf numFmtId="0" fontId="5" fillId="0" borderId="19" xfId="53" applyFont="1" applyFill="1" applyBorder="1" applyAlignment="1" applyProtection="1">
      <alignment horizontal="center" vertical="center"/>
      <protection hidden="1"/>
    </xf>
    <xf numFmtId="49" fontId="5" fillId="0" borderId="19" xfId="53" applyNumberFormat="1" applyFont="1" applyFill="1" applyBorder="1" applyAlignment="1" applyProtection="1">
      <alignment horizontal="center" vertical="center" wrapText="1"/>
      <protection hidden="1"/>
    </xf>
    <xf numFmtId="3" fontId="5" fillId="0" borderId="19" xfId="53" applyNumberFormat="1" applyFont="1" applyFill="1" applyBorder="1" applyAlignment="1" applyProtection="1">
      <alignment horizontal="center" vertical="center" wrapText="1"/>
      <protection hidden="1"/>
    </xf>
    <xf numFmtId="164" fontId="24" fillId="34" borderId="0" xfId="53" applyNumberFormat="1" applyFont="1" applyFill="1" applyProtection="1">
      <alignment/>
      <protection hidden="1"/>
    </xf>
    <xf numFmtId="0" fontId="11" fillId="0" borderId="10" xfId="53" applyFont="1" applyFill="1" applyBorder="1" applyAlignment="1" applyProtection="1">
      <alignment horizontal="left" vertical="center" wrapText="1" shrinkToFit="1"/>
      <protection hidden="1"/>
    </xf>
    <xf numFmtId="0" fontId="31" fillId="0" borderId="10" xfId="0" applyFont="1" applyFill="1" applyBorder="1" applyAlignment="1">
      <alignment vertical="center" wrapText="1"/>
    </xf>
    <xf numFmtId="0" fontId="6" fillId="0" borderId="28" xfId="53" applyFont="1" applyFill="1" applyBorder="1" applyAlignment="1" applyProtection="1">
      <alignment horizontal="left" vertical="center" wrapText="1"/>
      <protection hidden="1"/>
    </xf>
    <xf numFmtId="0" fontId="11" fillId="0" borderId="10" xfId="53" applyFont="1" applyFill="1" applyBorder="1" applyAlignment="1" applyProtection="1">
      <alignment horizontal="left" wrapText="1"/>
      <protection hidden="1"/>
    </xf>
    <xf numFmtId="164" fontId="4" fillId="0" borderId="10" xfId="53" applyNumberFormat="1" applyFont="1" applyFill="1" applyBorder="1" applyAlignment="1" applyProtection="1">
      <alignment horizontal="right"/>
      <protection hidden="1"/>
    </xf>
    <xf numFmtId="164" fontId="4" fillId="4" borderId="10" xfId="53" applyNumberFormat="1" applyFont="1" applyFill="1" applyBorder="1" applyAlignment="1" applyProtection="1">
      <alignment horizontal="right"/>
      <protection hidden="1"/>
    </xf>
    <xf numFmtId="164" fontId="4" fillId="4" borderId="10" xfId="53" applyNumberFormat="1" applyFont="1" applyFill="1" applyBorder="1" applyAlignment="1" applyProtection="1">
      <alignment horizontal="right"/>
      <protection hidden="1"/>
    </xf>
    <xf numFmtId="0" fontId="6" fillId="0" borderId="10" xfId="53" applyFont="1" applyFill="1" applyBorder="1" applyAlignment="1" applyProtection="1">
      <alignment wrapText="1"/>
      <protection hidden="1"/>
    </xf>
    <xf numFmtId="0" fontId="3" fillId="0" borderId="10" xfId="53" applyFont="1" applyFill="1" applyBorder="1" applyAlignment="1" applyProtection="1">
      <alignment horizontal="center" vertical="center"/>
      <protection hidden="1"/>
    </xf>
    <xf numFmtId="3" fontId="3" fillId="0" borderId="10" xfId="53" applyNumberFormat="1" applyFont="1" applyFill="1" applyBorder="1" applyAlignment="1" applyProtection="1">
      <alignment horizontal="center"/>
      <protection hidden="1"/>
    </xf>
    <xf numFmtId="0" fontId="5" fillId="0" borderId="10" xfId="53" applyFont="1" applyFill="1" applyBorder="1" applyAlignment="1" applyProtection="1">
      <alignment horizontal="left" vertical="center"/>
      <protection hidden="1"/>
    </xf>
    <xf numFmtId="49" fontId="6" fillId="35" borderId="10" xfId="53" applyNumberFormat="1" applyFont="1" applyFill="1" applyBorder="1" applyAlignment="1" applyProtection="1">
      <alignment horizontal="center" wrapText="1"/>
      <protection hidden="1"/>
    </xf>
    <xf numFmtId="164" fontId="3" fillId="35" borderId="10" xfId="53" applyNumberFormat="1" applyFont="1" applyFill="1" applyBorder="1" applyAlignment="1" applyProtection="1">
      <alignment horizontal="right"/>
      <protection hidden="1"/>
    </xf>
    <xf numFmtId="0" fontId="10" fillId="0" borderId="20" xfId="0" applyFont="1" applyBorder="1" applyAlignment="1" applyProtection="1">
      <alignment horizontal="center" vertical="top" wrapText="1"/>
      <protection hidden="1"/>
    </xf>
    <xf numFmtId="0" fontId="10" fillId="0" borderId="21" xfId="0" applyFont="1" applyBorder="1" applyAlignment="1" applyProtection="1">
      <alignment horizontal="justify" vertical="top" wrapText="1"/>
      <protection hidden="1"/>
    </xf>
    <xf numFmtId="164" fontId="12" fillId="33" borderId="10" xfId="0" applyNumberFormat="1" applyFont="1" applyFill="1" applyBorder="1" applyAlignment="1" applyProtection="1">
      <alignment/>
      <protection hidden="1"/>
    </xf>
    <xf numFmtId="164" fontId="3" fillId="33" borderId="10" xfId="0" applyNumberFormat="1" applyFont="1" applyFill="1" applyBorder="1" applyAlignment="1" applyProtection="1">
      <alignment/>
      <protection hidden="1"/>
    </xf>
    <xf numFmtId="174" fontId="10" fillId="0" borderId="0" xfId="0" applyNumberFormat="1" applyFont="1" applyFill="1" applyBorder="1" applyAlignment="1" applyProtection="1">
      <alignment horizontal="center"/>
      <protection hidden="1"/>
    </xf>
    <xf numFmtId="0" fontId="33" fillId="4" borderId="10" xfId="0" applyFont="1" applyFill="1" applyBorder="1" applyAlignment="1">
      <alignment horizontal="left" vertical="center" wrapText="1"/>
    </xf>
    <xf numFmtId="0" fontId="8" fillId="4" borderId="10" xfId="53" applyFont="1" applyFill="1" applyBorder="1" applyAlignment="1" applyProtection="1">
      <alignment horizontal="left" vertical="center" wrapText="1"/>
      <protection hidden="1"/>
    </xf>
    <xf numFmtId="49" fontId="6" fillId="4" borderId="10" xfId="53" applyNumberFormat="1" applyFont="1" applyFill="1" applyBorder="1" applyAlignment="1" applyProtection="1">
      <alignment horizontal="center" wrapText="1"/>
      <protection hidden="1"/>
    </xf>
    <xf numFmtId="49" fontId="6" fillId="4" borderId="10" xfId="53" applyNumberFormat="1" applyFont="1" applyFill="1" applyBorder="1" applyAlignment="1" applyProtection="1">
      <alignment horizontal="center" wrapText="1"/>
      <protection hidden="1"/>
    </xf>
    <xf numFmtId="0" fontId="8" fillId="4" borderId="10" xfId="0" applyFont="1" applyFill="1" applyBorder="1" applyAlignment="1" applyProtection="1">
      <alignment wrapText="1"/>
      <protection hidden="1"/>
    </xf>
    <xf numFmtId="0" fontId="8" fillId="0" borderId="10" xfId="53" applyFont="1" applyFill="1" applyBorder="1" applyAlignment="1" applyProtection="1">
      <alignment horizontal="left" wrapText="1"/>
      <protection hidden="1"/>
    </xf>
    <xf numFmtId="49" fontId="8" fillId="0" borderId="30" xfId="53" applyNumberFormat="1" applyFont="1" applyFill="1" applyBorder="1" applyAlignment="1" applyProtection="1">
      <alignment horizontal="center" wrapText="1"/>
      <protection hidden="1"/>
    </xf>
    <xf numFmtId="49" fontId="6" fillId="0" borderId="18" xfId="53" applyNumberFormat="1" applyFont="1" applyFill="1" applyBorder="1" applyAlignment="1" applyProtection="1">
      <alignment horizontal="center" wrapText="1"/>
      <protection hidden="1"/>
    </xf>
    <xf numFmtId="49" fontId="8" fillId="0" borderId="18" xfId="53" applyNumberFormat="1" applyFont="1" applyFill="1" applyBorder="1" applyAlignment="1" applyProtection="1">
      <alignment horizontal="center" wrapText="1"/>
      <protection hidden="1"/>
    </xf>
    <xf numFmtId="49" fontId="8" fillId="0" borderId="18" xfId="53" applyNumberFormat="1" applyFont="1" applyFill="1" applyBorder="1" applyAlignment="1" applyProtection="1">
      <alignment horizontal="center" vertical="center" wrapText="1"/>
      <protection hidden="1"/>
    </xf>
    <xf numFmtId="49" fontId="6" fillId="0" borderId="18" xfId="53" applyNumberFormat="1" applyFont="1" applyFill="1" applyBorder="1" applyAlignment="1" applyProtection="1">
      <alignment horizontal="center" vertical="center" wrapText="1"/>
      <protection hidden="1"/>
    </xf>
    <xf numFmtId="49" fontId="8" fillId="0" borderId="30" xfId="53" applyNumberFormat="1" applyFont="1" applyFill="1" applyBorder="1" applyAlignment="1" applyProtection="1">
      <alignment horizontal="center" vertical="center" wrapText="1"/>
      <protection hidden="1"/>
    </xf>
    <xf numFmtId="49" fontId="6" fillId="0" borderId="30" xfId="53" applyNumberFormat="1" applyFont="1" applyFill="1" applyBorder="1" applyAlignment="1" applyProtection="1">
      <alignment horizontal="center" vertical="center" wrapText="1"/>
      <protection hidden="1"/>
    </xf>
    <xf numFmtId="49" fontId="8" fillId="32" borderId="21" xfId="53" applyNumberFormat="1" applyFont="1" applyFill="1" applyBorder="1" applyAlignment="1" applyProtection="1">
      <alignment horizontal="center" wrapText="1"/>
      <protection hidden="1"/>
    </xf>
    <xf numFmtId="0" fontId="3" fillId="0" borderId="0" xfId="53" applyFont="1" applyFill="1" applyAlignment="1" applyProtection="1">
      <alignment horizontal="left"/>
      <protection hidden="1"/>
    </xf>
    <xf numFmtId="0" fontId="4" fillId="0" borderId="0" xfId="53" applyFont="1" applyFill="1" applyBorder="1" applyAlignment="1" applyProtection="1">
      <alignment horizontal="right" vertical="center"/>
      <protection hidden="1"/>
    </xf>
    <xf numFmtId="164" fontId="3" fillId="0" borderId="10" xfId="53" applyNumberFormat="1" applyFont="1" applyFill="1" applyBorder="1" applyAlignment="1" applyProtection="1">
      <alignment horizontal="center"/>
      <protection hidden="1"/>
    </xf>
    <xf numFmtId="164" fontId="3" fillId="0" borderId="10" xfId="53" applyNumberFormat="1" applyFont="1" applyFill="1" applyBorder="1" applyAlignment="1" applyProtection="1">
      <alignment/>
      <protection hidden="1"/>
    </xf>
    <xf numFmtId="49" fontId="6" fillId="0" borderId="10" xfId="53" applyNumberFormat="1" applyFont="1" applyFill="1" applyBorder="1" applyAlignment="1" applyProtection="1">
      <alignment horizontal="center"/>
      <protection hidden="1"/>
    </xf>
    <xf numFmtId="0" fontId="8" fillId="4" borderId="21" xfId="53" applyFont="1" applyFill="1" applyBorder="1" applyAlignment="1" applyProtection="1">
      <alignment horizontal="left" vertical="center" wrapText="1"/>
      <protection hidden="1"/>
    </xf>
    <xf numFmtId="164" fontId="4" fillId="4" borderId="21" xfId="53" applyNumberFormat="1" applyFont="1" applyFill="1" applyBorder="1" applyAlignment="1" applyProtection="1">
      <alignment horizontal="right"/>
      <protection hidden="1"/>
    </xf>
    <xf numFmtId="0" fontId="5" fillId="0" borderId="0" xfId="53" applyFont="1" applyFill="1" applyBorder="1" applyAlignment="1" applyProtection="1">
      <alignment horizontal="center" vertical="center"/>
      <protection hidden="1" locked="0"/>
    </xf>
    <xf numFmtId="164" fontId="3" fillId="0" borderId="28" xfId="53" applyNumberFormat="1" applyFont="1" applyFill="1" applyBorder="1" applyAlignment="1" applyProtection="1">
      <alignment horizontal="right"/>
      <protection hidden="1"/>
    </xf>
    <xf numFmtId="0" fontId="17" fillId="0" borderId="0" xfId="0" applyFont="1" applyFill="1" applyAlignment="1">
      <alignment vertical="center" wrapText="1"/>
    </xf>
    <xf numFmtId="0" fontId="6" fillId="0" borderId="10" xfId="53" applyFont="1" applyFill="1" applyBorder="1" applyAlignment="1" applyProtection="1">
      <alignment horizontal="left" vertical="justify" wrapText="1"/>
      <protection hidden="1"/>
    </xf>
    <xf numFmtId="49" fontId="8" fillId="4" borderId="10" xfId="53" applyNumberFormat="1" applyFont="1" applyFill="1" applyBorder="1" applyAlignment="1" applyProtection="1">
      <alignment horizontal="center" wrapText="1"/>
      <protection hidden="1"/>
    </xf>
    <xf numFmtId="49" fontId="8" fillId="4" borderId="10" xfId="53" applyNumberFormat="1" applyFont="1" applyFill="1" applyBorder="1" applyAlignment="1" applyProtection="1">
      <alignment horizontal="center"/>
      <protection hidden="1"/>
    </xf>
    <xf numFmtId="164" fontId="13" fillId="0" borderId="28" xfId="53" applyNumberFormat="1" applyFont="1" applyFill="1" applyBorder="1" applyAlignment="1" applyProtection="1">
      <alignment horizontal="right"/>
      <protection hidden="1"/>
    </xf>
    <xf numFmtId="0" fontId="6" fillId="0" borderId="10" xfId="0" applyFont="1" applyFill="1" applyBorder="1" applyAlignment="1" applyProtection="1">
      <alignment horizontal="left" wrapText="1"/>
      <protection hidden="1"/>
    </xf>
    <xf numFmtId="49" fontId="3" fillId="0" borderId="0" xfId="53" applyNumberFormat="1" applyFont="1" applyFill="1" applyAlignment="1" applyProtection="1">
      <alignment horizontal="center"/>
      <protection hidden="1"/>
    </xf>
    <xf numFmtId="0" fontId="3" fillId="0" borderId="0" xfId="53" applyFont="1" applyFill="1" applyBorder="1" applyAlignment="1" applyProtection="1">
      <alignment horizontal="center"/>
      <protection hidden="1"/>
    </xf>
    <xf numFmtId="49" fontId="6" fillId="4" borderId="21" xfId="53" applyNumberFormat="1" applyFont="1" applyFill="1" applyBorder="1" applyAlignment="1" applyProtection="1">
      <alignment horizontal="center"/>
      <protection hidden="1"/>
    </xf>
    <xf numFmtId="49" fontId="6" fillId="4" borderId="10" xfId="53" applyNumberFormat="1" applyFont="1" applyFill="1" applyBorder="1" applyAlignment="1" applyProtection="1">
      <alignment horizontal="center"/>
      <protection hidden="1"/>
    </xf>
    <xf numFmtId="0" fontId="3" fillId="0" borderId="10" xfId="53" applyFont="1" applyFill="1" applyBorder="1" applyAlignment="1" applyProtection="1">
      <alignment/>
      <protection hidden="1"/>
    </xf>
    <xf numFmtId="49" fontId="3" fillId="0" borderId="10" xfId="53" applyNumberFormat="1" applyFont="1" applyFill="1" applyBorder="1" applyAlignment="1" applyProtection="1">
      <alignment horizontal="center"/>
      <protection hidden="1"/>
    </xf>
    <xf numFmtId="49" fontId="8" fillId="4" borderId="21" xfId="53" applyNumberFormat="1" applyFont="1" applyFill="1" applyBorder="1" applyAlignment="1" applyProtection="1">
      <alignment horizontal="center"/>
      <protection hidden="1"/>
    </xf>
    <xf numFmtId="49" fontId="6" fillId="0" borderId="28" xfId="53" applyNumberFormat="1" applyFont="1" applyFill="1" applyBorder="1" applyAlignment="1" applyProtection="1">
      <alignment horizontal="center"/>
      <protection hidden="1"/>
    </xf>
    <xf numFmtId="0" fontId="8" fillId="4" borderId="10" xfId="53" applyFont="1" applyFill="1" applyBorder="1" applyAlignment="1" applyProtection="1">
      <alignment horizontal="left" wrapText="1"/>
      <protection hidden="1"/>
    </xf>
    <xf numFmtId="0" fontId="6" fillId="36" borderId="10" xfId="53" applyFont="1" applyFill="1" applyBorder="1" applyAlignment="1" applyProtection="1">
      <alignment horizontal="left" vertical="center" wrapText="1"/>
      <protection hidden="1"/>
    </xf>
    <xf numFmtId="0" fontId="9" fillId="0" borderId="0" xfId="0" applyFont="1" applyAlignment="1" applyProtection="1">
      <alignment horizontal="right"/>
      <protection hidden="1"/>
    </xf>
    <xf numFmtId="0" fontId="10" fillId="0" borderId="0" xfId="0" applyFont="1" applyAlignment="1" applyProtection="1">
      <alignment/>
      <protection hidden="1"/>
    </xf>
    <xf numFmtId="0" fontId="5" fillId="0" borderId="15" xfId="0" applyFont="1" applyBorder="1" applyAlignment="1" applyProtection="1">
      <alignment horizontal="left" wrapText="1"/>
      <protection hidden="1"/>
    </xf>
    <xf numFmtId="49" fontId="8" fillId="0" borderId="15" xfId="0" applyNumberFormat="1" applyFont="1" applyBorder="1" applyAlignment="1" applyProtection="1">
      <alignment horizontal="center"/>
      <protection hidden="1"/>
    </xf>
    <xf numFmtId="164" fontId="4" fillId="0" borderId="15" xfId="0" applyNumberFormat="1" applyFont="1" applyBorder="1" applyAlignment="1" applyProtection="1">
      <alignment horizontal="right"/>
      <protection hidden="1"/>
    </xf>
    <xf numFmtId="0" fontId="9" fillId="0" borderId="0" xfId="0" applyFont="1" applyAlignment="1" applyProtection="1">
      <alignment horizontal="left" vertical="top"/>
      <protection hidden="1"/>
    </xf>
    <xf numFmtId="0" fontId="6" fillId="0" borderId="10" xfId="0" applyFont="1" applyBorder="1" applyAlignment="1" applyProtection="1">
      <alignment wrapText="1"/>
      <protection hidden="1"/>
    </xf>
    <xf numFmtId="49" fontId="6" fillId="0" borderId="10" xfId="0" applyNumberFormat="1" applyFont="1" applyBorder="1" applyAlignment="1" applyProtection="1">
      <alignment horizontal="center"/>
      <protection hidden="1"/>
    </xf>
    <xf numFmtId="164" fontId="3" fillId="0" borderId="10" xfId="0" applyNumberFormat="1" applyFont="1" applyBorder="1" applyAlignment="1" applyProtection="1">
      <alignment horizontal="right"/>
      <protection hidden="1"/>
    </xf>
    <xf numFmtId="0" fontId="6" fillId="0" borderId="10" xfId="0" applyFont="1" applyFill="1" applyBorder="1" applyAlignment="1" applyProtection="1">
      <alignment vertical="center" wrapText="1"/>
      <protection hidden="1"/>
    </xf>
    <xf numFmtId="0" fontId="6" fillId="33" borderId="10" xfId="0" applyFont="1" applyFill="1" applyBorder="1" applyAlignment="1" applyProtection="1">
      <alignment vertical="center" wrapText="1"/>
      <protection hidden="1"/>
    </xf>
    <xf numFmtId="49" fontId="6" fillId="33" borderId="10" xfId="0" applyNumberFormat="1" applyFont="1" applyFill="1" applyBorder="1" applyAlignment="1" applyProtection="1">
      <alignment horizontal="center"/>
      <protection hidden="1"/>
    </xf>
    <xf numFmtId="164" fontId="3" fillId="33" borderId="10" xfId="0" applyNumberFormat="1" applyFont="1" applyFill="1" applyBorder="1" applyAlignment="1" applyProtection="1">
      <alignment horizontal="right"/>
      <protection hidden="1"/>
    </xf>
    <xf numFmtId="49" fontId="17" fillId="33" borderId="10" xfId="0" applyNumberFormat="1" applyFont="1" applyFill="1" applyBorder="1" applyAlignment="1" applyProtection="1">
      <alignment vertical="center" wrapText="1"/>
      <protection hidden="1"/>
    </xf>
    <xf numFmtId="0" fontId="6" fillId="33" borderId="10" xfId="0" applyFont="1" applyFill="1" applyBorder="1" applyAlignment="1" applyProtection="1">
      <alignment wrapText="1"/>
      <protection hidden="1"/>
    </xf>
    <xf numFmtId="0" fontId="8" fillId="33" borderId="10" xfId="0" applyFont="1" applyFill="1" applyBorder="1" applyAlignment="1" applyProtection="1">
      <alignment wrapText="1"/>
      <protection hidden="1"/>
    </xf>
    <xf numFmtId="0" fontId="6" fillId="33" borderId="10" xfId="0" applyFont="1" applyFill="1" applyBorder="1" applyAlignment="1" applyProtection="1">
      <alignment wrapText="1"/>
      <protection hidden="1"/>
    </xf>
    <xf numFmtId="0" fontId="8" fillId="33" borderId="10" xfId="0" applyFont="1" applyFill="1" applyBorder="1" applyAlignment="1" applyProtection="1">
      <alignment horizontal="left" wrapText="1"/>
      <protection hidden="1"/>
    </xf>
    <xf numFmtId="0" fontId="6" fillId="33" borderId="10" xfId="0" applyFont="1" applyFill="1" applyBorder="1" applyAlignment="1" applyProtection="1">
      <alignment horizontal="left" wrapText="1"/>
      <protection hidden="1"/>
    </xf>
    <xf numFmtId="0" fontId="6" fillId="33" borderId="10" xfId="0" applyFont="1" applyFill="1" applyBorder="1" applyAlignment="1" applyProtection="1">
      <alignment horizontal="center"/>
      <protection hidden="1"/>
    </xf>
    <xf numFmtId="0" fontId="8" fillId="33" borderId="10" xfId="0" applyFont="1" applyFill="1" applyBorder="1" applyAlignment="1" applyProtection="1">
      <alignment wrapText="1"/>
      <protection hidden="1"/>
    </xf>
    <xf numFmtId="164" fontId="3" fillId="33" borderId="10" xfId="0" applyNumberFormat="1" applyFont="1" applyFill="1" applyBorder="1" applyAlignment="1" applyProtection="1">
      <alignment/>
      <protection hidden="1"/>
    </xf>
    <xf numFmtId="0" fontId="6" fillId="33" borderId="10" xfId="0" applyFont="1" applyFill="1" applyBorder="1" applyAlignment="1" applyProtection="1">
      <alignment horizontal="left" wrapText="1"/>
      <protection hidden="1"/>
    </xf>
    <xf numFmtId="1" fontId="6" fillId="33" borderId="10" xfId="0" applyNumberFormat="1" applyFont="1" applyFill="1" applyBorder="1" applyAlignment="1" applyProtection="1">
      <alignment horizontal="center"/>
      <protection hidden="1"/>
    </xf>
    <xf numFmtId="0" fontId="6" fillId="33" borderId="10" xfId="0" applyNumberFormat="1" applyFont="1" applyFill="1" applyBorder="1" applyAlignment="1" applyProtection="1">
      <alignment wrapText="1"/>
      <protection hidden="1"/>
    </xf>
    <xf numFmtId="0" fontId="6" fillId="33" borderId="10" xfId="0" applyNumberFormat="1" applyFont="1" applyFill="1" applyBorder="1" applyAlignment="1" applyProtection="1">
      <alignment vertical="top" wrapText="1"/>
      <protection hidden="1"/>
    </xf>
    <xf numFmtId="49" fontId="6" fillId="33" borderId="10" xfId="0" applyNumberFormat="1" applyFont="1" applyFill="1" applyBorder="1" applyAlignment="1" applyProtection="1">
      <alignment horizontal="center" vertical="top"/>
      <protection hidden="1"/>
    </xf>
    <xf numFmtId="0" fontId="6" fillId="33" borderId="10" xfId="0" applyFont="1" applyFill="1" applyBorder="1" applyAlignment="1" applyProtection="1">
      <alignment horizontal="left" vertical="center" wrapText="1"/>
      <protection hidden="1"/>
    </xf>
    <xf numFmtId="0" fontId="5" fillId="33" borderId="10" xfId="0" applyFont="1" applyFill="1" applyBorder="1" applyAlignment="1" applyProtection="1">
      <alignment wrapText="1"/>
      <protection hidden="1"/>
    </xf>
    <xf numFmtId="49" fontId="8" fillId="33" borderId="10" xfId="0" applyNumberFormat="1" applyFont="1" applyFill="1" applyBorder="1" applyAlignment="1" applyProtection="1">
      <alignment horizontal="center"/>
      <protection hidden="1"/>
    </xf>
    <xf numFmtId="164" fontId="4" fillId="33" borderId="10" xfId="0" applyNumberFormat="1" applyFont="1" applyFill="1" applyBorder="1" applyAlignment="1" applyProtection="1">
      <alignment horizontal="right"/>
      <protection hidden="1"/>
    </xf>
    <xf numFmtId="49" fontId="17" fillId="33" borderId="10" xfId="0" applyNumberFormat="1" applyFont="1" applyFill="1" applyBorder="1" applyAlignment="1" applyProtection="1">
      <alignment horizontal="left" vertical="top" wrapText="1"/>
      <protection hidden="1"/>
    </xf>
    <xf numFmtId="0" fontId="5" fillId="0" borderId="10" xfId="0" applyFont="1" applyBorder="1" applyAlignment="1" applyProtection="1">
      <alignment horizontal="left" wrapText="1"/>
      <protection hidden="1"/>
    </xf>
    <xf numFmtId="164" fontId="4" fillId="0" borderId="10" xfId="0" applyNumberFormat="1" applyFont="1" applyBorder="1" applyAlignment="1" applyProtection="1">
      <alignment horizontal="right"/>
      <protection hidden="1"/>
    </xf>
    <xf numFmtId="49" fontId="6" fillId="0" borderId="0" xfId="0" applyNumberFormat="1" applyFont="1" applyAlignment="1" applyProtection="1">
      <alignment/>
      <protection hidden="1"/>
    </xf>
    <xf numFmtId="0" fontId="17" fillId="0" borderId="10" xfId="0" applyFont="1" applyFill="1" applyBorder="1" applyAlignment="1">
      <alignment horizontal="left" vertical="center" wrapText="1"/>
    </xf>
    <xf numFmtId="164" fontId="3" fillId="0" borderId="10" xfId="53" applyNumberFormat="1" applyFont="1" applyFill="1" applyBorder="1" applyAlignment="1" applyProtection="1">
      <alignment horizontal="right" wrapText="1"/>
      <protection hidden="1"/>
    </xf>
    <xf numFmtId="164" fontId="3" fillId="0" borderId="0" xfId="53" applyNumberFormat="1" applyFont="1" applyFill="1" applyAlignment="1" applyProtection="1">
      <alignment horizontal="center"/>
      <protection hidden="1"/>
    </xf>
    <xf numFmtId="174" fontId="3" fillId="34" borderId="0" xfId="53" applyNumberFormat="1" applyFont="1" applyFill="1" applyProtection="1">
      <alignment/>
      <protection hidden="1"/>
    </xf>
    <xf numFmtId="0" fontId="6" fillId="0" borderId="10" xfId="0" applyFont="1" applyFill="1" applyBorder="1" applyAlignment="1" applyProtection="1">
      <alignment horizontal="left" vertical="center" wrapText="1"/>
      <protection hidden="1"/>
    </xf>
    <xf numFmtId="49" fontId="9" fillId="0" borderId="10" xfId="0" applyNumberFormat="1" applyFont="1" applyFill="1" applyBorder="1" applyAlignment="1">
      <alignment horizontal="center" vertical="top" wrapText="1"/>
    </xf>
    <xf numFmtId="0" fontId="11" fillId="0" borderId="10" xfId="0" applyFont="1" applyFill="1" applyBorder="1" applyAlignment="1" applyProtection="1">
      <alignment horizontal="left" wrapText="1"/>
      <protection hidden="1"/>
    </xf>
    <xf numFmtId="0" fontId="6" fillId="0" borderId="19" xfId="53" applyFont="1" applyFill="1" applyBorder="1" applyAlignment="1" applyProtection="1">
      <alignment horizontal="left" vertical="center" wrapText="1"/>
      <protection hidden="1"/>
    </xf>
    <xf numFmtId="0" fontId="6" fillId="33" borderId="10" xfId="0" applyFont="1" applyFill="1" applyBorder="1" applyAlignment="1" applyProtection="1">
      <alignment vertical="top" wrapText="1"/>
      <protection hidden="1"/>
    </xf>
    <xf numFmtId="164" fontId="36" fillId="0" borderId="10" xfId="53" applyNumberFormat="1" applyFont="1" applyFill="1" applyBorder="1" applyAlignment="1" applyProtection="1">
      <alignment horizontal="right"/>
      <protection hidden="1"/>
    </xf>
    <xf numFmtId="0" fontId="6" fillId="0" borderId="10" xfId="53" applyNumberFormat="1" applyFont="1" applyFill="1" applyBorder="1" applyAlignment="1" applyProtection="1">
      <alignment horizontal="left" vertical="center" wrapText="1"/>
      <protection hidden="1"/>
    </xf>
    <xf numFmtId="164" fontId="13" fillId="37" borderId="10" xfId="53" applyNumberFormat="1" applyFont="1" applyFill="1" applyBorder="1" applyAlignment="1" applyProtection="1">
      <alignment horizontal="right"/>
      <protection hidden="1"/>
    </xf>
    <xf numFmtId="164" fontId="3" fillId="37" borderId="10" xfId="53" applyNumberFormat="1" applyFont="1" applyFill="1" applyBorder="1" applyAlignment="1" applyProtection="1">
      <alignment horizontal="right"/>
      <protection hidden="1"/>
    </xf>
    <xf numFmtId="164" fontId="12" fillId="37" borderId="10" xfId="53" applyNumberFormat="1" applyFont="1" applyFill="1" applyBorder="1" applyAlignment="1" applyProtection="1">
      <alignment horizontal="right"/>
      <protection hidden="1"/>
    </xf>
    <xf numFmtId="0" fontId="8" fillId="37" borderId="10" xfId="53" applyFont="1" applyFill="1" applyBorder="1" applyAlignment="1" applyProtection="1">
      <alignment horizontal="left" vertical="center" wrapText="1"/>
      <protection hidden="1"/>
    </xf>
    <xf numFmtId="49" fontId="6" fillId="37" borderId="10" xfId="53" applyNumberFormat="1" applyFont="1" applyFill="1" applyBorder="1" applyAlignment="1" applyProtection="1">
      <alignment horizontal="center" wrapText="1"/>
      <protection hidden="1"/>
    </xf>
    <xf numFmtId="49" fontId="6" fillId="37" borderId="31" xfId="53" applyNumberFormat="1" applyFont="1" applyFill="1" applyBorder="1" applyAlignment="1" applyProtection="1">
      <alignment horizontal="center" wrapText="1"/>
      <protection hidden="1"/>
    </xf>
    <xf numFmtId="49" fontId="6" fillId="37" borderId="28" xfId="53" applyNumberFormat="1" applyFont="1" applyFill="1" applyBorder="1" applyAlignment="1" applyProtection="1">
      <alignment horizontal="center" wrapText="1"/>
      <protection hidden="1"/>
    </xf>
    <xf numFmtId="0" fontId="11" fillId="37" borderId="10" xfId="53" applyFont="1" applyFill="1" applyBorder="1" applyAlignment="1" applyProtection="1">
      <alignment horizontal="left" vertical="center" wrapText="1"/>
      <protection hidden="1"/>
    </xf>
    <xf numFmtId="49" fontId="6" fillId="37" borderId="18" xfId="53" applyNumberFormat="1" applyFont="1" applyFill="1" applyBorder="1" applyAlignment="1" applyProtection="1">
      <alignment horizontal="center" wrapText="1"/>
      <protection hidden="1"/>
    </xf>
    <xf numFmtId="49" fontId="6" fillId="37" borderId="30" xfId="53" applyNumberFormat="1" applyFont="1" applyFill="1" applyBorder="1" applyAlignment="1" applyProtection="1">
      <alignment horizontal="center" wrapText="1"/>
      <protection hidden="1"/>
    </xf>
    <xf numFmtId="0" fontId="6" fillId="37" borderId="10" xfId="53" applyFont="1" applyFill="1" applyBorder="1" applyAlignment="1" applyProtection="1">
      <alignment horizontal="left" vertical="center" wrapText="1"/>
      <protection hidden="1"/>
    </xf>
    <xf numFmtId="0" fontId="6" fillId="37" borderId="10" xfId="53" applyFont="1" applyFill="1" applyBorder="1" applyAlignment="1" applyProtection="1">
      <alignment horizontal="left" vertical="center" wrapText="1"/>
      <protection hidden="1"/>
    </xf>
    <xf numFmtId="0" fontId="6" fillId="37" borderId="10" xfId="53" applyFont="1" applyFill="1" applyBorder="1" applyAlignment="1" applyProtection="1">
      <alignment horizontal="left" wrapText="1"/>
      <protection hidden="1"/>
    </xf>
    <xf numFmtId="164" fontId="3" fillId="4" borderId="10" xfId="53" applyNumberFormat="1" applyFont="1" applyFill="1" applyBorder="1" applyAlignment="1" applyProtection="1">
      <alignment horizontal="right"/>
      <protection hidden="1"/>
    </xf>
    <xf numFmtId="164" fontId="36" fillId="0" borderId="10" xfId="53" applyNumberFormat="1" applyFont="1" applyFill="1" applyBorder="1" applyAlignment="1" applyProtection="1">
      <alignment horizontal="right"/>
      <protection hidden="1"/>
    </xf>
    <xf numFmtId="49" fontId="6" fillId="33" borderId="10" xfId="0" applyNumberFormat="1" applyFont="1" applyFill="1" applyBorder="1" applyAlignment="1" applyProtection="1">
      <alignment horizontal="center" wrapText="1"/>
      <protection hidden="1"/>
    </xf>
    <xf numFmtId="49" fontId="9" fillId="0" borderId="0" xfId="53" applyNumberFormat="1" applyFont="1" applyFill="1" applyAlignment="1" applyProtection="1">
      <alignment/>
      <protection hidden="1"/>
    </xf>
    <xf numFmtId="0" fontId="5" fillId="0" borderId="0" xfId="0" applyFont="1" applyFill="1" applyAlignment="1" applyProtection="1">
      <alignment horizontal="center"/>
      <protection hidden="1"/>
    </xf>
    <xf numFmtId="0" fontId="7" fillId="0" borderId="32" xfId="0" applyFont="1" applyBorder="1" applyAlignment="1" applyProtection="1">
      <alignment horizontal="center" vertical="center" wrapText="1"/>
      <protection hidden="1"/>
    </xf>
    <xf numFmtId="0" fontId="7" fillId="0" borderId="33" xfId="0" applyFont="1" applyBorder="1" applyAlignment="1" applyProtection="1">
      <alignment horizontal="center" vertical="center" wrapText="1"/>
      <protection hidden="1"/>
    </xf>
    <xf numFmtId="49" fontId="7" fillId="0" borderId="34" xfId="0" applyNumberFormat="1" applyFont="1" applyBorder="1" applyAlignment="1" applyProtection="1">
      <alignment horizontal="center" vertical="center" wrapText="1"/>
      <protection hidden="1"/>
    </xf>
    <xf numFmtId="49" fontId="7" fillId="0" borderId="12" xfId="0" applyNumberFormat="1" applyFont="1" applyBorder="1" applyAlignment="1" applyProtection="1">
      <alignment horizontal="center" vertical="center" wrapText="1"/>
      <protection hidden="1"/>
    </xf>
    <xf numFmtId="0" fontId="7" fillId="0" borderId="34" xfId="0" applyFont="1" applyBorder="1" applyAlignment="1" applyProtection="1">
      <alignment horizontal="center" vertical="center"/>
      <protection hidden="1"/>
    </xf>
    <xf numFmtId="0" fontId="7" fillId="0" borderId="12" xfId="0" applyFont="1" applyBorder="1" applyAlignment="1" applyProtection="1">
      <alignment horizontal="center" vertical="center"/>
      <protection hidden="1"/>
    </xf>
    <xf numFmtId="0" fontId="25" fillId="0" borderId="18" xfId="53" applyFont="1" applyFill="1" applyBorder="1" applyAlignment="1" applyProtection="1">
      <alignment horizontal="left" vertical="center" wrapText="1"/>
      <protection hidden="1"/>
    </xf>
    <xf numFmtId="0" fontId="25" fillId="0" borderId="35" xfId="53" applyFont="1" applyFill="1" applyBorder="1" applyAlignment="1" applyProtection="1">
      <alignment horizontal="left" vertical="center" wrapText="1"/>
      <protection hidden="1"/>
    </xf>
    <xf numFmtId="0" fontId="25" fillId="0" borderId="30" xfId="53" applyFont="1" applyFill="1" applyBorder="1" applyAlignment="1" applyProtection="1">
      <alignment horizontal="left" vertical="center" wrapText="1"/>
      <protection hidden="1"/>
    </xf>
    <xf numFmtId="0" fontId="4" fillId="0" borderId="0" xfId="53" applyFont="1" applyFill="1" applyBorder="1" applyAlignment="1" applyProtection="1">
      <alignment horizontal="center" vertical="center"/>
      <protection hidden="1" locked="0"/>
    </xf>
    <xf numFmtId="0" fontId="4" fillId="0" borderId="0" xfId="53" applyFont="1" applyFill="1" applyAlignment="1" applyProtection="1">
      <alignment horizontal="center" vertical="center"/>
      <protection hidden="1"/>
    </xf>
    <xf numFmtId="3" fontId="4" fillId="0" borderId="0" xfId="53" applyNumberFormat="1" applyFont="1" applyFill="1" applyBorder="1" applyAlignment="1" applyProtection="1">
      <alignment horizontal="center" wrapText="1"/>
      <protection hidden="1"/>
    </xf>
    <xf numFmtId="0" fontId="7" fillId="0" borderId="36" xfId="53" applyFont="1" applyFill="1" applyBorder="1" applyAlignment="1" applyProtection="1">
      <alignment horizontal="center" vertical="center"/>
      <protection hidden="1"/>
    </xf>
    <xf numFmtId="0" fontId="7" fillId="0" borderId="37" xfId="53" applyFont="1" applyFill="1" applyBorder="1" applyAlignment="1" applyProtection="1">
      <alignment horizontal="center" vertical="center"/>
      <protection hidden="1"/>
    </xf>
    <xf numFmtId="49" fontId="7" fillId="0" borderId="38" xfId="53" applyNumberFormat="1" applyFont="1" applyFill="1" applyBorder="1" applyAlignment="1" applyProtection="1">
      <alignment horizontal="center" vertical="center" wrapText="1"/>
      <protection hidden="1"/>
    </xf>
    <xf numFmtId="49" fontId="7" fillId="0" borderId="39" xfId="53" applyNumberFormat="1" applyFont="1" applyFill="1" applyBorder="1" applyAlignment="1" applyProtection="1">
      <alignment horizontal="center" vertical="center" wrapText="1"/>
      <protection hidden="1"/>
    </xf>
    <xf numFmtId="49" fontId="7" fillId="0" borderId="40" xfId="53" applyNumberFormat="1" applyFont="1" applyFill="1" applyBorder="1" applyAlignment="1" applyProtection="1">
      <alignment horizontal="center" vertical="center" wrapText="1"/>
      <protection hidden="1"/>
    </xf>
    <xf numFmtId="3" fontId="7" fillId="0" borderId="41" xfId="53" applyNumberFormat="1" applyFont="1" applyFill="1" applyBorder="1" applyAlignment="1" applyProtection="1">
      <alignment horizontal="center" vertical="center"/>
      <protection hidden="1"/>
    </xf>
    <xf numFmtId="3" fontId="7" fillId="0" borderId="42" xfId="53" applyNumberFormat="1" applyFont="1" applyFill="1" applyBorder="1" applyAlignment="1" applyProtection="1">
      <alignment horizontal="center" vertical="center"/>
      <protection hidden="1"/>
    </xf>
    <xf numFmtId="0" fontId="7" fillId="0" borderId="38" xfId="53" applyFont="1" applyFill="1" applyBorder="1" applyAlignment="1" applyProtection="1">
      <alignment horizontal="center" vertical="center"/>
      <protection hidden="1"/>
    </xf>
    <xf numFmtId="0" fontId="7" fillId="0" borderId="43" xfId="53" applyFont="1" applyFill="1" applyBorder="1" applyAlignment="1" applyProtection="1">
      <alignment horizontal="center" vertical="center"/>
      <protection hidden="1"/>
    </xf>
    <xf numFmtId="0" fontId="10" fillId="0" borderId="0" xfId="0" applyFont="1" applyAlignment="1">
      <alignment horizontal="center"/>
    </xf>
    <xf numFmtId="49" fontId="9" fillId="0" borderId="0" xfId="53" applyNumberFormat="1" applyFont="1" applyFill="1" applyAlignment="1" applyProtection="1">
      <alignment horizontal="center"/>
      <protection hidden="1"/>
    </xf>
    <xf numFmtId="0" fontId="4" fillId="0" borderId="0" xfId="53" applyFont="1" applyFill="1" applyBorder="1" applyAlignment="1" applyProtection="1">
      <alignment horizontal="center" vertical="center"/>
      <protection hidden="1"/>
    </xf>
    <xf numFmtId="0" fontId="4" fillId="0" borderId="0" xfId="53" applyFont="1" applyFill="1" applyAlignment="1" applyProtection="1">
      <alignment horizontal="center" vertical="center" wrapText="1"/>
      <protection hidden="1"/>
    </xf>
    <xf numFmtId="0" fontId="5" fillId="0" borderId="27" xfId="0" applyFont="1" applyBorder="1" applyAlignment="1" applyProtection="1">
      <alignment horizontal="left"/>
      <protection hidden="1"/>
    </xf>
    <xf numFmtId="0" fontId="5" fillId="0" borderId="30" xfId="0" applyFont="1" applyBorder="1" applyAlignment="1" applyProtection="1">
      <alignment horizontal="left"/>
      <protection hidden="1"/>
    </xf>
    <xf numFmtId="3" fontId="4" fillId="0" borderId="0" xfId="0" applyNumberFormat="1" applyFont="1" applyFill="1" applyBorder="1" applyAlignment="1" applyProtection="1">
      <alignment horizontal="center"/>
      <protection hidden="1"/>
    </xf>
    <xf numFmtId="0" fontId="5" fillId="0" borderId="44" xfId="0" applyFont="1" applyBorder="1" applyAlignment="1" applyProtection="1">
      <alignment horizontal="left"/>
      <protection hidden="1"/>
    </xf>
    <xf numFmtId="0" fontId="5" fillId="0" borderId="45" xfId="0" applyFont="1" applyBorder="1" applyAlignment="1" applyProtection="1">
      <alignment horizontal="left"/>
      <protection hidden="1"/>
    </xf>
    <xf numFmtId="0" fontId="9" fillId="0" borderId="27" xfId="0" applyFont="1" applyBorder="1" applyAlignment="1" applyProtection="1">
      <alignment horizontal="left" wrapText="1"/>
      <protection hidden="1"/>
    </xf>
    <xf numFmtId="0" fontId="9" fillId="0" borderId="30" xfId="0" applyFont="1" applyBorder="1" applyAlignment="1" applyProtection="1">
      <alignment horizontal="left" wrapText="1"/>
      <protection hidden="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рил №2 - ФКР - Бюджет 200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D261"/>
  <sheetViews>
    <sheetView view="pageBreakPreview" zoomScaleSheetLayoutView="100" zoomScalePageLayoutView="0" workbookViewId="0" topLeftCell="A5">
      <selection activeCell="B8" sqref="B8"/>
    </sheetView>
  </sheetViews>
  <sheetFormatPr defaultColWidth="8.50390625" defaultRowHeight="12.75"/>
  <cols>
    <col min="1" max="1" width="60.125" style="3" customWidth="1"/>
    <col min="2" max="2" width="17.50390625" style="4" customWidth="1"/>
    <col min="3" max="3" width="14.50390625" style="253" bestFit="1" customWidth="1"/>
    <col min="4" max="16384" width="8.50390625" style="3" customWidth="1"/>
  </cols>
  <sheetData>
    <row r="1" ht="12.75" hidden="1"/>
    <row r="2" spans="2:3" ht="12.75" hidden="1">
      <c r="B2" s="10"/>
      <c r="C2"/>
    </row>
    <row r="3" spans="2:3" ht="12.75" hidden="1">
      <c r="B3" s="10"/>
      <c r="C3"/>
    </row>
    <row r="4" spans="2:3" ht="12.75" hidden="1">
      <c r="B4" s="254"/>
      <c r="C4" s="254"/>
    </row>
    <row r="5" spans="2:3" ht="12.75">
      <c r="B5" s="254"/>
      <c r="C5" s="254"/>
    </row>
    <row r="6" spans="2:3" ht="12.75">
      <c r="B6" s="10" t="s">
        <v>1084</v>
      </c>
      <c r="C6" s="100"/>
    </row>
    <row r="7" spans="2:3" ht="12.75">
      <c r="B7" s="10" t="s">
        <v>866</v>
      </c>
      <c r="C7" s="100"/>
    </row>
    <row r="8" spans="2:3" ht="12.75">
      <c r="B8" s="103" t="s">
        <v>1526</v>
      </c>
      <c r="C8" s="103"/>
    </row>
    <row r="10" spans="2:3" ht="12.75">
      <c r="B10" s="10" t="s">
        <v>1008</v>
      </c>
      <c r="C10"/>
    </row>
    <row r="11" spans="2:3" ht="12.75">
      <c r="B11" s="10" t="s">
        <v>866</v>
      </c>
      <c r="C11"/>
    </row>
    <row r="12" spans="2:3" ht="12.75">
      <c r="B12" s="254" t="s">
        <v>1009</v>
      </c>
      <c r="C12" s="254"/>
    </row>
    <row r="13" ht="12.75">
      <c r="B13" s="10"/>
    </row>
    <row r="14" ht="10.5" customHeight="1"/>
    <row r="15" spans="1:3" ht="12.75" customHeight="1">
      <c r="A15" s="316" t="s">
        <v>489</v>
      </c>
      <c r="B15" s="316"/>
      <c r="C15" s="316"/>
    </row>
    <row r="16" ht="13.5" thickBot="1">
      <c r="C16" s="253" t="s">
        <v>867</v>
      </c>
    </row>
    <row r="17" spans="1:3" ht="12.75">
      <c r="A17" s="317" t="s">
        <v>490</v>
      </c>
      <c r="B17" s="319" t="s">
        <v>491</v>
      </c>
      <c r="C17" s="321" t="s">
        <v>787</v>
      </c>
    </row>
    <row r="18" spans="1:3" ht="13.5" thickBot="1">
      <c r="A18" s="318"/>
      <c r="B18" s="320"/>
      <c r="C18" s="322"/>
    </row>
    <row r="19" spans="1:3" s="258" customFormat="1" ht="15">
      <c r="A19" s="255" t="s">
        <v>492</v>
      </c>
      <c r="B19" s="256" t="s">
        <v>493</v>
      </c>
      <c r="C19" s="257">
        <f>C20+C28+C34+C50+C61+C66+C81+C97+C103+C108+C121+C146</f>
        <v>3092446.597</v>
      </c>
    </row>
    <row r="20" spans="1:3" ht="15">
      <c r="A20" s="259" t="s">
        <v>494</v>
      </c>
      <c r="B20" s="260" t="s">
        <v>495</v>
      </c>
      <c r="C20" s="261">
        <f>C23+C21</f>
        <v>979394</v>
      </c>
    </row>
    <row r="21" spans="1:3" ht="15" hidden="1">
      <c r="A21" s="5" t="s">
        <v>496</v>
      </c>
      <c r="B21" s="260" t="s">
        <v>497</v>
      </c>
      <c r="C21" s="261">
        <f>C22</f>
        <v>0</v>
      </c>
    </row>
    <row r="22" spans="1:3" ht="24" hidden="1">
      <c r="A22" s="262" t="s">
        <v>619</v>
      </c>
      <c r="B22" s="260" t="s">
        <v>620</v>
      </c>
      <c r="C22" s="62">
        <v>0</v>
      </c>
    </row>
    <row r="23" spans="1:3" ht="15">
      <c r="A23" s="5" t="s">
        <v>621</v>
      </c>
      <c r="B23" s="260" t="s">
        <v>622</v>
      </c>
      <c r="C23" s="261">
        <f>C24+C25+C26+C27</f>
        <v>979394</v>
      </c>
    </row>
    <row r="24" spans="1:3" ht="50.25">
      <c r="A24" s="263" t="s">
        <v>940</v>
      </c>
      <c r="B24" s="264" t="s">
        <v>612</v>
      </c>
      <c r="C24" s="265">
        <f>981362+8000+10000+6779.4-2800-18000-14300</f>
        <v>971041.4</v>
      </c>
    </row>
    <row r="25" spans="1:3" ht="68.25" customHeight="1">
      <c r="A25" s="263" t="s">
        <v>615</v>
      </c>
      <c r="B25" s="264" t="s">
        <v>616</v>
      </c>
      <c r="C25" s="265">
        <f>2000-747.4-150</f>
        <v>1102.6</v>
      </c>
    </row>
    <row r="26" spans="1:3" ht="24">
      <c r="A26" s="266" t="s">
        <v>617</v>
      </c>
      <c r="B26" s="264" t="s">
        <v>618</v>
      </c>
      <c r="C26" s="265">
        <f>6000+2800-1550</f>
        <v>7250</v>
      </c>
    </row>
    <row r="27" spans="1:3" ht="63" hidden="1">
      <c r="A27" s="267" t="s">
        <v>1463</v>
      </c>
      <c r="B27" s="264" t="s">
        <v>1464</v>
      </c>
      <c r="C27" s="265">
        <v>0</v>
      </c>
    </row>
    <row r="28" spans="1:3" ht="24">
      <c r="A28" s="267" t="s">
        <v>1465</v>
      </c>
      <c r="B28" s="264" t="s">
        <v>1466</v>
      </c>
      <c r="C28" s="265">
        <f>C29</f>
        <v>67395</v>
      </c>
    </row>
    <row r="29" spans="1:3" ht="24">
      <c r="A29" s="268" t="s">
        <v>1467</v>
      </c>
      <c r="B29" s="264" t="s">
        <v>1468</v>
      </c>
      <c r="C29" s="265">
        <f>C30+C31+C32+C33</f>
        <v>67395</v>
      </c>
    </row>
    <row r="30" spans="1:3" ht="48">
      <c r="A30" s="267" t="s">
        <v>382</v>
      </c>
      <c r="B30" s="264" t="s">
        <v>1469</v>
      </c>
      <c r="C30" s="265">
        <f>30700-3500-3000</f>
        <v>24200</v>
      </c>
    </row>
    <row r="31" spans="1:3" ht="48">
      <c r="A31" s="267" t="s">
        <v>1</v>
      </c>
      <c r="B31" s="264" t="s">
        <v>1470</v>
      </c>
      <c r="C31" s="265">
        <f>900-300</f>
        <v>600</v>
      </c>
    </row>
    <row r="32" spans="1:3" ht="48">
      <c r="A32" s="267" t="s">
        <v>1051</v>
      </c>
      <c r="B32" s="264" t="s">
        <v>1471</v>
      </c>
      <c r="C32" s="265">
        <f>58645-10000-6050</f>
        <v>42595</v>
      </c>
    </row>
    <row r="33" spans="1:3" ht="48">
      <c r="A33" s="267" t="s">
        <v>1070</v>
      </c>
      <c r="B33" s="264" t="s">
        <v>1472</v>
      </c>
      <c r="C33" s="265">
        <f>2650-2000-650</f>
        <v>0</v>
      </c>
    </row>
    <row r="34" spans="1:3" ht="13.5" customHeight="1">
      <c r="A34" s="267" t="s">
        <v>1473</v>
      </c>
      <c r="B34" s="264" t="s">
        <v>1474</v>
      </c>
      <c r="C34" s="265">
        <f>C43+C46+C35+C48</f>
        <v>287966.8</v>
      </c>
    </row>
    <row r="35" spans="1:3" ht="25.5" customHeight="1">
      <c r="A35" s="268" t="s">
        <v>1475</v>
      </c>
      <c r="B35" s="264" t="s">
        <v>1476</v>
      </c>
      <c r="C35" s="265">
        <f>C36+C39+C42</f>
        <v>160865.1</v>
      </c>
    </row>
    <row r="36" spans="1:3" ht="24">
      <c r="A36" s="269" t="s">
        <v>1477</v>
      </c>
      <c r="B36" s="264" t="s">
        <v>1478</v>
      </c>
      <c r="C36" s="265">
        <f>C37+C38</f>
        <v>126865.1</v>
      </c>
    </row>
    <row r="37" spans="1:3" ht="24">
      <c r="A37" s="269" t="s">
        <v>1477</v>
      </c>
      <c r="B37" s="264" t="s">
        <v>1479</v>
      </c>
      <c r="C37" s="265">
        <f>127355-10000+10000+9000-8000-1489.9</f>
        <v>126865.1</v>
      </c>
    </row>
    <row r="38" spans="1:3" ht="27.75" customHeight="1" hidden="1">
      <c r="A38" s="269" t="s">
        <v>651</v>
      </c>
      <c r="B38" s="264" t="s">
        <v>652</v>
      </c>
      <c r="C38" s="265">
        <f>40000-40000</f>
        <v>0</v>
      </c>
    </row>
    <row r="39" spans="1:3" ht="27.75" customHeight="1">
      <c r="A39" s="269" t="s">
        <v>653</v>
      </c>
      <c r="B39" s="264" t="s">
        <v>654</v>
      </c>
      <c r="C39" s="265">
        <f>C40+C41</f>
        <v>26000</v>
      </c>
    </row>
    <row r="40" spans="1:3" ht="27.75" customHeight="1">
      <c r="A40" s="269" t="s">
        <v>653</v>
      </c>
      <c r="B40" s="264" t="s">
        <v>655</v>
      </c>
      <c r="C40" s="265">
        <f>20000+10000-1000-3000</f>
        <v>26000</v>
      </c>
    </row>
    <row r="41" spans="1:3" ht="36" hidden="1">
      <c r="A41" s="269" t="s">
        <v>723</v>
      </c>
      <c r="B41" s="264" t="s">
        <v>724</v>
      </c>
      <c r="C41" s="265">
        <f>10000-50-9950</f>
        <v>0</v>
      </c>
    </row>
    <row r="42" spans="1:3" ht="15">
      <c r="A42" s="269" t="s">
        <v>725</v>
      </c>
      <c r="B42" s="264" t="s">
        <v>726</v>
      </c>
      <c r="C42" s="265">
        <f>10000-2000</f>
        <v>8000</v>
      </c>
    </row>
    <row r="43" spans="1:3" ht="15">
      <c r="A43" s="270" t="s">
        <v>727</v>
      </c>
      <c r="B43" s="264" t="s">
        <v>728</v>
      </c>
      <c r="C43" s="265">
        <f>C44+C45</f>
        <v>122000</v>
      </c>
    </row>
    <row r="44" spans="1:3" ht="13.5" customHeight="1">
      <c r="A44" s="271" t="s">
        <v>727</v>
      </c>
      <c r="B44" s="264" t="s">
        <v>729</v>
      </c>
      <c r="C44" s="265">
        <f>125000-2500-500</f>
        <v>122000</v>
      </c>
    </row>
    <row r="45" spans="1:3" ht="24.75" customHeight="1" hidden="1">
      <c r="A45" s="271" t="s">
        <v>730</v>
      </c>
      <c r="B45" s="264" t="s">
        <v>731</v>
      </c>
      <c r="C45" s="265">
        <f>1000-500-500</f>
        <v>0</v>
      </c>
    </row>
    <row r="46" spans="1:3" ht="19.5" customHeight="1">
      <c r="A46" s="270" t="s">
        <v>732</v>
      </c>
      <c r="B46" s="264" t="s">
        <v>733</v>
      </c>
      <c r="C46" s="265">
        <f>C47</f>
        <v>101.70000000000005</v>
      </c>
    </row>
    <row r="47" spans="1:3" ht="15">
      <c r="A47" s="271" t="s">
        <v>732</v>
      </c>
      <c r="B47" s="264" t="s">
        <v>734</v>
      </c>
      <c r="C47" s="265">
        <f>785-683.3</f>
        <v>101.70000000000005</v>
      </c>
    </row>
    <row r="48" spans="1:3" ht="24">
      <c r="A48" s="268" t="s">
        <v>735</v>
      </c>
      <c r="B48" s="264" t="s">
        <v>736</v>
      </c>
      <c r="C48" s="265">
        <f>C49</f>
        <v>5000</v>
      </c>
    </row>
    <row r="49" spans="1:3" ht="24">
      <c r="A49" s="269" t="s">
        <v>737</v>
      </c>
      <c r="B49" s="264" t="s">
        <v>738</v>
      </c>
      <c r="C49" s="265">
        <f>4500+500</f>
        <v>5000</v>
      </c>
    </row>
    <row r="50" spans="1:3" ht="15">
      <c r="A50" s="267" t="s">
        <v>739</v>
      </c>
      <c r="B50" s="272" t="s">
        <v>689</v>
      </c>
      <c r="C50" s="265">
        <f>C51+C56+C53</f>
        <v>922798.38</v>
      </c>
    </row>
    <row r="51" spans="1:3" ht="14.25" customHeight="1">
      <c r="A51" s="273" t="s">
        <v>690</v>
      </c>
      <c r="B51" s="264" t="s">
        <v>691</v>
      </c>
      <c r="C51" s="265">
        <f>C52</f>
        <v>67000</v>
      </c>
    </row>
    <row r="52" spans="1:3" ht="24">
      <c r="A52" s="267" t="s">
        <v>692</v>
      </c>
      <c r="B52" s="264" t="s">
        <v>693</v>
      </c>
      <c r="C52" s="265">
        <f>50000+11000+6000</f>
        <v>67000</v>
      </c>
    </row>
    <row r="53" spans="1:3" ht="15" hidden="1">
      <c r="A53" s="268" t="s">
        <v>694</v>
      </c>
      <c r="B53" s="264" t="s">
        <v>695</v>
      </c>
      <c r="C53" s="265">
        <f>C54+C55</f>
        <v>0</v>
      </c>
    </row>
    <row r="54" spans="1:3" ht="24" hidden="1">
      <c r="A54" s="269" t="s">
        <v>775</v>
      </c>
      <c r="B54" s="264" t="s">
        <v>776</v>
      </c>
      <c r="C54" s="265">
        <v>0</v>
      </c>
    </row>
    <row r="55" spans="1:3" ht="24" hidden="1">
      <c r="A55" s="269" t="s">
        <v>136</v>
      </c>
      <c r="B55" s="264" t="s">
        <v>137</v>
      </c>
      <c r="C55" s="265">
        <v>0</v>
      </c>
    </row>
    <row r="56" spans="1:3" ht="15">
      <c r="A56" s="273" t="s">
        <v>138</v>
      </c>
      <c r="B56" s="264" t="s">
        <v>139</v>
      </c>
      <c r="C56" s="265">
        <f>C57+C59</f>
        <v>855798.38</v>
      </c>
    </row>
    <row r="57" spans="1:3" ht="24">
      <c r="A57" s="267" t="s">
        <v>140</v>
      </c>
      <c r="B57" s="264" t="s">
        <v>141</v>
      </c>
      <c r="C57" s="265">
        <f>C58</f>
        <v>129000</v>
      </c>
    </row>
    <row r="58" spans="1:3" ht="36">
      <c r="A58" s="267" t="s">
        <v>142</v>
      </c>
      <c r="B58" s="264" t="s">
        <v>923</v>
      </c>
      <c r="C58" s="274">
        <f>110000+2000+24000-15000+5000+3000</f>
        <v>129000</v>
      </c>
    </row>
    <row r="59" spans="1:3" ht="24">
      <c r="A59" s="267" t="s">
        <v>924</v>
      </c>
      <c r="B59" s="264" t="s">
        <v>925</v>
      </c>
      <c r="C59" s="265">
        <f>C60</f>
        <v>726798.38</v>
      </c>
    </row>
    <row r="60" spans="1:3" ht="36">
      <c r="A60" s="267" t="s">
        <v>1235</v>
      </c>
      <c r="B60" s="264" t="s">
        <v>1236</v>
      </c>
      <c r="C60" s="265">
        <f>377719+8000+5000+79767.33+2480.3-1349.2+23177.4+1000+64086.3+100856.8+1060.5+20000+25000+19999.95</f>
        <v>726798.38</v>
      </c>
    </row>
    <row r="61" spans="1:3" ht="15">
      <c r="A61" s="267" t="s">
        <v>1237</v>
      </c>
      <c r="B61" s="264" t="s">
        <v>1238</v>
      </c>
      <c r="C61" s="265">
        <f>C62+C64</f>
        <v>22910</v>
      </c>
    </row>
    <row r="62" spans="1:3" ht="24">
      <c r="A62" s="267" t="s">
        <v>1239</v>
      </c>
      <c r="B62" s="264" t="s">
        <v>1240</v>
      </c>
      <c r="C62" s="265">
        <f>C63</f>
        <v>21970</v>
      </c>
    </row>
    <row r="63" spans="1:3" ht="24">
      <c r="A63" s="267" t="s">
        <v>1241</v>
      </c>
      <c r="B63" s="264" t="s">
        <v>1242</v>
      </c>
      <c r="C63" s="265">
        <f>18500+3500-30</f>
        <v>21970</v>
      </c>
    </row>
    <row r="64" spans="1:3" ht="24">
      <c r="A64" s="267" t="s">
        <v>1181</v>
      </c>
      <c r="B64" s="264" t="s">
        <v>1182</v>
      </c>
      <c r="C64" s="265">
        <f>C65</f>
        <v>940</v>
      </c>
    </row>
    <row r="65" spans="1:3" ht="24.75" customHeight="1">
      <c r="A65" s="267" t="s">
        <v>1504</v>
      </c>
      <c r="B65" s="264" t="s">
        <v>1505</v>
      </c>
      <c r="C65" s="265">
        <f>610+300+30</f>
        <v>940</v>
      </c>
    </row>
    <row r="66" spans="1:3" ht="24.75" customHeight="1" hidden="1">
      <c r="A66" s="267" t="s">
        <v>1506</v>
      </c>
      <c r="B66" s="264" t="s">
        <v>1507</v>
      </c>
      <c r="C66" s="265">
        <f>C67+C72+C74+C69</f>
        <v>0</v>
      </c>
    </row>
    <row r="67" spans="1:3" ht="15" customHeight="1" hidden="1">
      <c r="A67" s="275" t="s">
        <v>1508</v>
      </c>
      <c r="B67" s="264" t="s">
        <v>1509</v>
      </c>
      <c r="C67" s="265">
        <f>SUM(C68)</f>
        <v>0</v>
      </c>
    </row>
    <row r="68" spans="1:3" ht="15" customHeight="1" hidden="1">
      <c r="A68" s="275" t="s">
        <v>1510</v>
      </c>
      <c r="B68" s="264" t="s">
        <v>1511</v>
      </c>
      <c r="C68" s="265">
        <v>0</v>
      </c>
    </row>
    <row r="69" spans="1:3" ht="26.25" customHeight="1" hidden="1">
      <c r="A69" s="275" t="s">
        <v>1512</v>
      </c>
      <c r="B69" s="264" t="s">
        <v>1513</v>
      </c>
      <c r="C69" s="265">
        <f>SUM(C70)</f>
        <v>0</v>
      </c>
    </row>
    <row r="70" spans="1:3" ht="15" hidden="1">
      <c r="A70" s="275" t="s">
        <v>1514</v>
      </c>
      <c r="B70" s="264" t="s">
        <v>1515</v>
      </c>
      <c r="C70" s="265">
        <f>SUM(C71)</f>
        <v>0</v>
      </c>
    </row>
    <row r="71" spans="1:3" ht="13.5" customHeight="1" hidden="1">
      <c r="A71" s="275" t="s">
        <v>1516</v>
      </c>
      <c r="B71" s="264" t="s">
        <v>1517</v>
      </c>
      <c r="C71" s="265">
        <v>0</v>
      </c>
    </row>
    <row r="72" spans="1:3" ht="15" hidden="1">
      <c r="A72" s="267" t="s">
        <v>1518</v>
      </c>
      <c r="B72" s="264" t="s">
        <v>1519</v>
      </c>
      <c r="C72" s="265">
        <f>SUM(C73)</f>
        <v>0</v>
      </c>
    </row>
    <row r="73" spans="1:3" ht="12" customHeight="1" hidden="1">
      <c r="A73" s="267" t="s">
        <v>1520</v>
      </c>
      <c r="B73" s="264" t="s">
        <v>1521</v>
      </c>
      <c r="C73" s="265">
        <v>0</v>
      </c>
    </row>
    <row r="74" spans="1:3" ht="15" hidden="1">
      <c r="A74" s="267" t="s">
        <v>1522</v>
      </c>
      <c r="B74" s="272" t="s">
        <v>1523</v>
      </c>
      <c r="C74" s="265">
        <f>SUM(C75+C77+C79)</f>
        <v>0</v>
      </c>
    </row>
    <row r="75" spans="1:3" ht="27.75" customHeight="1" hidden="1">
      <c r="A75" s="275" t="s">
        <v>1524</v>
      </c>
      <c r="B75" s="272" t="s">
        <v>1525</v>
      </c>
      <c r="C75" s="265">
        <f>SUM(C76)</f>
        <v>0</v>
      </c>
    </row>
    <row r="76" spans="1:3" ht="15" hidden="1">
      <c r="A76" s="275" t="s">
        <v>715</v>
      </c>
      <c r="B76" s="272" t="s">
        <v>716</v>
      </c>
      <c r="C76" s="265">
        <v>0</v>
      </c>
    </row>
    <row r="77" spans="1:3" ht="24" hidden="1">
      <c r="A77" s="275" t="s">
        <v>717</v>
      </c>
      <c r="B77" s="272" t="s">
        <v>718</v>
      </c>
      <c r="C77" s="265">
        <f>SUM(C78)</f>
        <v>0</v>
      </c>
    </row>
    <row r="78" spans="1:3" ht="17.25" customHeight="1" hidden="1">
      <c r="A78" s="275" t="s">
        <v>719</v>
      </c>
      <c r="B78" s="272" t="s">
        <v>720</v>
      </c>
      <c r="C78" s="265">
        <v>0</v>
      </c>
    </row>
    <row r="79" spans="1:3" ht="15" hidden="1">
      <c r="A79" s="275" t="s">
        <v>721</v>
      </c>
      <c r="B79" s="272" t="s">
        <v>1079</v>
      </c>
      <c r="C79" s="265">
        <f>SUM(C80)</f>
        <v>0</v>
      </c>
    </row>
    <row r="80" spans="1:3" ht="24" hidden="1">
      <c r="A80" s="275" t="s">
        <v>222</v>
      </c>
      <c r="B80" s="272" t="s">
        <v>223</v>
      </c>
      <c r="C80" s="265">
        <v>0</v>
      </c>
    </row>
    <row r="81" spans="1:3" ht="24">
      <c r="A81" s="275" t="s">
        <v>224</v>
      </c>
      <c r="B81" s="272" t="s">
        <v>225</v>
      </c>
      <c r="C81" s="265">
        <f>SUM(C82+C84+C91+C94)</f>
        <v>591809.52</v>
      </c>
    </row>
    <row r="82" spans="1:3" ht="36">
      <c r="A82" s="275" t="s">
        <v>1133</v>
      </c>
      <c r="B82" s="272" t="s">
        <v>903</v>
      </c>
      <c r="C82" s="265">
        <f>SUM(C83)</f>
        <v>1637.914</v>
      </c>
    </row>
    <row r="83" spans="1:3" ht="36">
      <c r="A83" s="275" t="s">
        <v>344</v>
      </c>
      <c r="B83" s="272" t="s">
        <v>345</v>
      </c>
      <c r="C83" s="265">
        <f>1546.9+91.014</f>
        <v>1637.914</v>
      </c>
    </row>
    <row r="84" spans="1:3" ht="53.25" customHeight="1">
      <c r="A84" s="275" t="s">
        <v>133</v>
      </c>
      <c r="B84" s="272" t="s">
        <v>1233</v>
      </c>
      <c r="C84" s="265">
        <f>C85+C87+C89</f>
        <v>565946.606</v>
      </c>
    </row>
    <row r="85" spans="1:3" ht="39" customHeight="1">
      <c r="A85" s="267" t="s">
        <v>1139</v>
      </c>
      <c r="B85" s="276" t="s">
        <v>1140</v>
      </c>
      <c r="C85" s="265">
        <f>C86</f>
        <v>405082.606</v>
      </c>
    </row>
    <row r="86" spans="1:3" ht="48">
      <c r="A86" s="267" t="s">
        <v>1141</v>
      </c>
      <c r="B86" s="276" t="s">
        <v>1142</v>
      </c>
      <c r="C86" s="265">
        <f>344870+10000+12000-24000+1000+24000+17212.606+20000</f>
        <v>405082.606</v>
      </c>
    </row>
    <row r="87" spans="1:3" ht="36">
      <c r="A87" s="277" t="s">
        <v>1143</v>
      </c>
      <c r="B87" s="264" t="s">
        <v>1144</v>
      </c>
      <c r="C87" s="265">
        <f>C88</f>
        <v>0</v>
      </c>
    </row>
    <row r="88" spans="1:3" ht="24">
      <c r="A88" s="267" t="s">
        <v>1145</v>
      </c>
      <c r="B88" s="264" t="s">
        <v>1146</v>
      </c>
      <c r="C88" s="265">
        <v>0</v>
      </c>
    </row>
    <row r="89" spans="1:3" ht="48">
      <c r="A89" s="267" t="s">
        <v>440</v>
      </c>
      <c r="B89" s="264" t="s">
        <v>441</v>
      </c>
      <c r="C89" s="265">
        <f>C90</f>
        <v>160864</v>
      </c>
    </row>
    <row r="90" spans="1:3" ht="36">
      <c r="A90" s="267" t="s">
        <v>1400</v>
      </c>
      <c r="B90" s="264" t="s">
        <v>1401</v>
      </c>
      <c r="C90" s="265">
        <f>149864-5000+2000+500+3500+10000</f>
        <v>160864</v>
      </c>
    </row>
    <row r="91" spans="1:3" ht="15">
      <c r="A91" s="267" t="s">
        <v>1402</v>
      </c>
      <c r="B91" s="264" t="s">
        <v>1403</v>
      </c>
      <c r="C91" s="265">
        <f>C92</f>
        <v>225</v>
      </c>
    </row>
    <row r="92" spans="1:3" ht="36">
      <c r="A92" s="267" t="s">
        <v>1404</v>
      </c>
      <c r="B92" s="264" t="s">
        <v>1405</v>
      </c>
      <c r="C92" s="265">
        <f>C93</f>
        <v>225</v>
      </c>
    </row>
    <row r="93" spans="1:3" ht="36">
      <c r="A93" s="267" t="s">
        <v>1272</v>
      </c>
      <c r="B93" s="264" t="s">
        <v>1273</v>
      </c>
      <c r="C93" s="265">
        <f>2475-2000-250</f>
        <v>225</v>
      </c>
    </row>
    <row r="94" spans="1:3" ht="48">
      <c r="A94" s="267" t="s">
        <v>1080</v>
      </c>
      <c r="B94" s="264" t="s">
        <v>1081</v>
      </c>
      <c r="C94" s="265">
        <f>C95</f>
        <v>24000</v>
      </c>
    </row>
    <row r="95" spans="1:3" ht="33" customHeight="1">
      <c r="A95" s="275" t="s">
        <v>1082</v>
      </c>
      <c r="B95" s="264" t="s">
        <v>1083</v>
      </c>
      <c r="C95" s="265">
        <f>SUM(C96)</f>
        <v>24000</v>
      </c>
    </row>
    <row r="96" spans="1:3" ht="48">
      <c r="A96" s="275" t="s">
        <v>1424</v>
      </c>
      <c r="B96" s="264" t="s">
        <v>1425</v>
      </c>
      <c r="C96" s="265">
        <f>7616+10784+4600+1000</f>
        <v>24000</v>
      </c>
    </row>
    <row r="97" spans="1:3" ht="15">
      <c r="A97" s="278" t="s">
        <v>1426</v>
      </c>
      <c r="B97" s="279" t="s">
        <v>1427</v>
      </c>
      <c r="C97" s="265">
        <f>SUM(C98)</f>
        <v>5035.95</v>
      </c>
    </row>
    <row r="98" spans="1:3" ht="15">
      <c r="A98" s="267" t="s">
        <v>1428</v>
      </c>
      <c r="B98" s="264" t="s">
        <v>1429</v>
      </c>
      <c r="C98" s="265">
        <f>C99+C100+C101+C102</f>
        <v>5035.95</v>
      </c>
    </row>
    <row r="99" spans="1:3" ht="24">
      <c r="A99" s="267" t="s">
        <v>1430</v>
      </c>
      <c r="B99" s="264" t="s">
        <v>1431</v>
      </c>
      <c r="C99" s="265">
        <f>600-100</f>
        <v>500</v>
      </c>
    </row>
    <row r="100" spans="1:3" ht="27" customHeight="1">
      <c r="A100" s="267" t="s">
        <v>1432</v>
      </c>
      <c r="B100" s="264" t="s">
        <v>1433</v>
      </c>
      <c r="C100" s="265">
        <f>250+100+19.95</f>
        <v>369.95</v>
      </c>
    </row>
    <row r="101" spans="1:3" ht="15">
      <c r="A101" s="267" t="s">
        <v>483</v>
      </c>
      <c r="B101" s="264" t="s">
        <v>484</v>
      </c>
      <c r="C101" s="265">
        <f>1186+100+50</f>
        <v>1336</v>
      </c>
    </row>
    <row r="102" spans="1:3" ht="15">
      <c r="A102" s="267" t="s">
        <v>1275</v>
      </c>
      <c r="B102" s="264" t="s">
        <v>1276</v>
      </c>
      <c r="C102" s="265">
        <f>3000-100-70</f>
        <v>2830</v>
      </c>
    </row>
    <row r="103" spans="1:3" ht="24">
      <c r="A103" s="267" t="s">
        <v>1277</v>
      </c>
      <c r="B103" s="272" t="s">
        <v>1278</v>
      </c>
      <c r="C103" s="265">
        <f>C104+C106</f>
        <v>5659.941999999999</v>
      </c>
    </row>
    <row r="104" spans="1:3" ht="17.25" customHeight="1">
      <c r="A104" s="267" t="s">
        <v>1279</v>
      </c>
      <c r="B104" s="264" t="s">
        <v>1280</v>
      </c>
      <c r="C104" s="265">
        <f>C105</f>
        <v>1375.6</v>
      </c>
    </row>
    <row r="105" spans="1:3" ht="27.75" customHeight="1">
      <c r="A105" s="267" t="s">
        <v>1281</v>
      </c>
      <c r="B105" s="264" t="s">
        <v>1282</v>
      </c>
      <c r="C105" s="265">
        <f>1300-1000+1075.6</f>
        <v>1375.6</v>
      </c>
    </row>
    <row r="106" spans="1:3" ht="15">
      <c r="A106" s="267" t="s">
        <v>275</v>
      </c>
      <c r="B106" s="264" t="s">
        <v>276</v>
      </c>
      <c r="C106" s="265">
        <f>C107</f>
        <v>4284.342</v>
      </c>
    </row>
    <row r="107" spans="1:3" ht="15">
      <c r="A107" s="267" t="s">
        <v>277</v>
      </c>
      <c r="B107" s="264" t="s">
        <v>278</v>
      </c>
      <c r="C107" s="265">
        <f>252+1669.79+37.321+100+2061.398+131.833+32</f>
        <v>4284.342</v>
      </c>
    </row>
    <row r="108" spans="1:3" ht="24">
      <c r="A108" s="267" t="s">
        <v>279</v>
      </c>
      <c r="B108" s="264" t="s">
        <v>280</v>
      </c>
      <c r="C108" s="265">
        <f>C109+C111+C118</f>
        <v>194623.1</v>
      </c>
    </row>
    <row r="109" spans="1:3" ht="15">
      <c r="A109" s="267" t="s">
        <v>281</v>
      </c>
      <c r="B109" s="264" t="s">
        <v>932</v>
      </c>
      <c r="C109" s="265">
        <f>C110</f>
        <v>798</v>
      </c>
    </row>
    <row r="110" spans="1:3" ht="13.5" customHeight="1">
      <c r="A110" s="267" t="s">
        <v>168</v>
      </c>
      <c r="B110" s="264" t="s">
        <v>169</v>
      </c>
      <c r="C110" s="265">
        <f>130+668</f>
        <v>798</v>
      </c>
    </row>
    <row r="111" spans="1:3" ht="48">
      <c r="A111" s="267" t="s">
        <v>170</v>
      </c>
      <c r="B111" s="264" t="s">
        <v>171</v>
      </c>
      <c r="C111" s="265">
        <f>C112+C115</f>
        <v>41825.1</v>
      </c>
    </row>
    <row r="112" spans="1:3" ht="50.25" customHeight="1">
      <c r="A112" s="267" t="s">
        <v>1228</v>
      </c>
      <c r="B112" s="264" t="s">
        <v>172</v>
      </c>
      <c r="C112" s="265">
        <f>C113+C114</f>
        <v>41825.1</v>
      </c>
    </row>
    <row r="113" spans="1:3" ht="50.25" customHeight="1" hidden="1">
      <c r="A113" s="267" t="s">
        <v>995</v>
      </c>
      <c r="B113" s="264" t="s">
        <v>996</v>
      </c>
      <c r="C113" s="265">
        <f>500-500</f>
        <v>0</v>
      </c>
    </row>
    <row r="114" spans="1:3" ht="45.75" customHeight="1">
      <c r="A114" s="267" t="s">
        <v>247</v>
      </c>
      <c r="B114" s="264" t="s">
        <v>248</v>
      </c>
      <c r="C114" s="265">
        <f>5146+10854+25825.1</f>
        <v>41825.1</v>
      </c>
    </row>
    <row r="115" spans="1:3" ht="46.5" customHeight="1" hidden="1">
      <c r="A115" s="267" t="s">
        <v>916</v>
      </c>
      <c r="B115" s="264" t="s">
        <v>917</v>
      </c>
      <c r="C115" s="265">
        <f>C116+C117</f>
        <v>0</v>
      </c>
    </row>
    <row r="116" spans="1:3" ht="39" customHeight="1" hidden="1">
      <c r="A116" s="267" t="s">
        <v>292</v>
      </c>
      <c r="B116" s="264" t="s">
        <v>293</v>
      </c>
      <c r="C116" s="265">
        <v>0</v>
      </c>
    </row>
    <row r="117" spans="1:3" ht="27.75" customHeight="1" hidden="1">
      <c r="A117" s="267" t="s">
        <v>926</v>
      </c>
      <c r="B117" s="264" t="s">
        <v>927</v>
      </c>
      <c r="C117" s="265">
        <v>0</v>
      </c>
    </row>
    <row r="118" spans="1:3" ht="41.25" customHeight="1">
      <c r="A118" s="263" t="s">
        <v>928</v>
      </c>
      <c r="B118" s="264" t="s">
        <v>929</v>
      </c>
      <c r="C118" s="265">
        <f>C119</f>
        <v>152000</v>
      </c>
    </row>
    <row r="119" spans="1:3" ht="24">
      <c r="A119" s="267" t="s">
        <v>997</v>
      </c>
      <c r="B119" s="264" t="s">
        <v>998</v>
      </c>
      <c r="C119" s="265">
        <f>C120</f>
        <v>152000</v>
      </c>
    </row>
    <row r="120" spans="1:3" ht="24">
      <c r="A120" s="267" t="s">
        <v>999</v>
      </c>
      <c r="B120" s="264" t="s">
        <v>1000</v>
      </c>
      <c r="C120" s="265">
        <f>45000+30000+75000+2000</f>
        <v>152000</v>
      </c>
    </row>
    <row r="121" spans="1:3" ht="15">
      <c r="A121" s="267" t="s">
        <v>1001</v>
      </c>
      <c r="B121" s="264" t="s">
        <v>1002</v>
      </c>
      <c r="C121" s="265">
        <f>C122+C125+C127+C144+C126+C129+C136+C137+C138+C139+C141+C142</f>
        <v>11119.005</v>
      </c>
    </row>
    <row r="122" spans="1:3" ht="24">
      <c r="A122" s="267" t="s">
        <v>1003</v>
      </c>
      <c r="B122" s="264" t="s">
        <v>1004</v>
      </c>
      <c r="C122" s="265">
        <f>C123+C124</f>
        <v>574</v>
      </c>
    </row>
    <row r="123" spans="1:3" ht="53.25">
      <c r="A123" s="267" t="s">
        <v>1071</v>
      </c>
      <c r="B123" s="264" t="s">
        <v>1072</v>
      </c>
      <c r="C123" s="265">
        <f>550-55+450-345-70</f>
        <v>530</v>
      </c>
    </row>
    <row r="124" spans="1:3" ht="36">
      <c r="A124" s="280" t="s">
        <v>1073</v>
      </c>
      <c r="B124" s="264" t="s">
        <v>1074</v>
      </c>
      <c r="C124" s="265">
        <f>150-94-12</f>
        <v>44</v>
      </c>
    </row>
    <row r="125" spans="1:3" ht="36">
      <c r="A125" s="267" t="s">
        <v>38</v>
      </c>
      <c r="B125" s="264" t="s">
        <v>39</v>
      </c>
      <c r="C125" s="265">
        <f>1800-300-450-240</f>
        <v>810</v>
      </c>
    </row>
    <row r="126" spans="1:3" ht="36">
      <c r="A126" s="267" t="s">
        <v>40</v>
      </c>
      <c r="B126" s="264" t="s">
        <v>41</v>
      </c>
      <c r="C126" s="265">
        <f>700+155+31+150</f>
        <v>1036</v>
      </c>
    </row>
    <row r="127" spans="1:3" ht="15" hidden="1">
      <c r="A127" s="267" t="s">
        <v>42</v>
      </c>
      <c r="B127" s="264" t="s">
        <v>43</v>
      </c>
      <c r="C127" s="265">
        <f>SUM(C128)</f>
        <v>0</v>
      </c>
    </row>
    <row r="128" spans="1:3" ht="24" hidden="1">
      <c r="A128" s="267" t="s">
        <v>44</v>
      </c>
      <c r="B128" s="264" t="s">
        <v>45</v>
      </c>
      <c r="C128" s="265"/>
    </row>
    <row r="129" spans="1:3" ht="62.25" customHeight="1">
      <c r="A129" s="267" t="s">
        <v>70</v>
      </c>
      <c r="B129" s="264" t="s">
        <v>71</v>
      </c>
      <c r="C129" s="265">
        <f>C130+C131+C132+C133+C134+C135</f>
        <v>2058.3</v>
      </c>
    </row>
    <row r="130" spans="1:3" ht="15" hidden="1">
      <c r="A130" s="267" t="s">
        <v>72</v>
      </c>
      <c r="B130" s="264" t="s">
        <v>73</v>
      </c>
      <c r="C130" s="265"/>
    </row>
    <row r="131" spans="1:3" ht="24" hidden="1">
      <c r="A131" s="267" t="s">
        <v>74</v>
      </c>
      <c r="B131" s="264" t="s">
        <v>75</v>
      </c>
      <c r="C131" s="265">
        <f>2-2</f>
        <v>0</v>
      </c>
    </row>
    <row r="132" spans="1:3" ht="24" hidden="1">
      <c r="A132" s="267" t="s">
        <v>76</v>
      </c>
      <c r="B132" s="264" t="s">
        <v>77</v>
      </c>
      <c r="C132" s="265"/>
    </row>
    <row r="133" spans="1:3" ht="24">
      <c r="A133" s="267" t="s">
        <v>78</v>
      </c>
      <c r="B133" s="264" t="s">
        <v>79</v>
      </c>
      <c r="C133" s="265">
        <f>600-300+444+450+5.5+540</f>
        <v>1739.5</v>
      </c>
    </row>
    <row r="134" spans="1:3" ht="15">
      <c r="A134" s="267" t="s">
        <v>1067</v>
      </c>
      <c r="B134" s="264" t="s">
        <v>1068</v>
      </c>
      <c r="C134" s="265">
        <f>400-100-101.7-5.5+126</f>
        <v>318.8</v>
      </c>
    </row>
    <row r="135" spans="1:3" ht="15">
      <c r="A135" s="267" t="s">
        <v>1069</v>
      </c>
      <c r="B135" s="264" t="s">
        <v>1108</v>
      </c>
      <c r="C135" s="265"/>
    </row>
    <row r="136" spans="1:3" ht="15">
      <c r="A136" s="267" t="s">
        <v>1109</v>
      </c>
      <c r="B136" s="264" t="s">
        <v>667</v>
      </c>
      <c r="C136" s="265"/>
    </row>
    <row r="137" spans="1:3" ht="36">
      <c r="A137" s="267" t="s">
        <v>668</v>
      </c>
      <c r="B137" s="264" t="s">
        <v>669</v>
      </c>
      <c r="C137" s="265">
        <f>3700-3200-500</f>
        <v>0</v>
      </c>
    </row>
    <row r="138" spans="1:3" ht="24">
      <c r="A138" s="267" t="s">
        <v>1326</v>
      </c>
      <c r="B138" s="264" t="s">
        <v>1327</v>
      </c>
      <c r="C138" s="265">
        <f>24000-24000+860.4+146</f>
        <v>1006.4</v>
      </c>
    </row>
    <row r="139" spans="1:3" ht="36">
      <c r="A139" s="267" t="s">
        <v>1328</v>
      </c>
      <c r="B139" s="264" t="s">
        <v>61</v>
      </c>
      <c r="C139" s="265">
        <f>C140</f>
        <v>0</v>
      </c>
    </row>
    <row r="140" spans="1:3" ht="36">
      <c r="A140" s="267" t="s">
        <v>85</v>
      </c>
      <c r="B140" s="264" t="s">
        <v>86</v>
      </c>
      <c r="C140" s="265">
        <v>0</v>
      </c>
    </row>
    <row r="141" spans="1:3" ht="36">
      <c r="A141" s="267" t="s">
        <v>253</v>
      </c>
      <c r="B141" s="264" t="s">
        <v>254</v>
      </c>
      <c r="C141" s="265">
        <f>1130.9+700-200</f>
        <v>1630.9</v>
      </c>
    </row>
    <row r="142" spans="1:3" ht="24">
      <c r="A142" s="267" t="s">
        <v>255</v>
      </c>
      <c r="B142" s="264" t="s">
        <v>256</v>
      </c>
      <c r="C142" s="265">
        <f>C143</f>
        <v>250</v>
      </c>
    </row>
    <row r="143" spans="1:3" ht="36">
      <c r="A143" s="267" t="s">
        <v>966</v>
      </c>
      <c r="B143" s="264" t="s">
        <v>967</v>
      </c>
      <c r="C143" s="265">
        <f>200+50</f>
        <v>250</v>
      </c>
    </row>
    <row r="144" spans="1:3" ht="24">
      <c r="A144" s="267" t="s">
        <v>1487</v>
      </c>
      <c r="B144" s="264" t="s">
        <v>1488</v>
      </c>
      <c r="C144" s="265">
        <f>SUM(C145)</f>
        <v>3753.4049999999997</v>
      </c>
    </row>
    <row r="145" spans="1:3" ht="24">
      <c r="A145" s="267" t="s">
        <v>1489</v>
      </c>
      <c r="B145" s="264" t="s">
        <v>1490</v>
      </c>
      <c r="C145" s="265">
        <f>4900-3500+853.405+400+900+200</f>
        <v>3753.4049999999997</v>
      </c>
    </row>
    <row r="146" spans="1:3" ht="15">
      <c r="A146" s="267" t="s">
        <v>1491</v>
      </c>
      <c r="B146" s="264" t="s">
        <v>1492</v>
      </c>
      <c r="C146" s="265">
        <f>C147+C149</f>
        <v>3734.9</v>
      </c>
    </row>
    <row r="147" spans="1:3" ht="15">
      <c r="A147" s="267" t="s">
        <v>1493</v>
      </c>
      <c r="B147" s="264" t="s">
        <v>1494</v>
      </c>
      <c r="C147" s="265">
        <f>C148</f>
        <v>0</v>
      </c>
    </row>
    <row r="148" spans="1:3" ht="15">
      <c r="A148" s="267" t="s">
        <v>1495</v>
      </c>
      <c r="B148" s="264" t="s">
        <v>1496</v>
      </c>
      <c r="C148" s="265">
        <v>0</v>
      </c>
    </row>
    <row r="149" spans="1:3" ht="15">
      <c r="A149" s="267" t="s">
        <v>1497</v>
      </c>
      <c r="B149" s="264" t="s">
        <v>1498</v>
      </c>
      <c r="C149" s="265">
        <f>SUM(C150)</f>
        <v>3734.9</v>
      </c>
    </row>
    <row r="150" spans="1:3" ht="15">
      <c r="A150" s="267" t="s">
        <v>1499</v>
      </c>
      <c r="B150" s="264" t="s">
        <v>1500</v>
      </c>
      <c r="C150" s="265">
        <f>C151+C152</f>
        <v>3734.9</v>
      </c>
    </row>
    <row r="151" spans="1:3" ht="15">
      <c r="A151" s="275" t="s">
        <v>1501</v>
      </c>
      <c r="B151" s="264" t="s">
        <v>1502</v>
      </c>
      <c r="C151" s="265">
        <f>10000-8000+1734.9</f>
        <v>3734.9</v>
      </c>
    </row>
    <row r="152" spans="1:3" ht="36">
      <c r="A152" s="267" t="s">
        <v>843</v>
      </c>
      <c r="B152" s="264" t="s">
        <v>844</v>
      </c>
      <c r="C152" s="265">
        <v>0</v>
      </c>
    </row>
    <row r="153" spans="1:3" ht="19.5" customHeight="1">
      <c r="A153" s="281" t="s">
        <v>845</v>
      </c>
      <c r="B153" s="282" t="s">
        <v>846</v>
      </c>
      <c r="C153" s="283">
        <f>C154+C222+C227</f>
        <v>1671171.1733900001</v>
      </c>
    </row>
    <row r="154" spans="1:3" ht="24">
      <c r="A154" s="267" t="s">
        <v>847</v>
      </c>
      <c r="B154" s="264" t="s">
        <v>848</v>
      </c>
      <c r="C154" s="265">
        <f>C157+C182+C211+C155</f>
        <v>1733369.366</v>
      </c>
    </row>
    <row r="155" spans="1:3" ht="24" hidden="1">
      <c r="A155" s="267" t="s">
        <v>699</v>
      </c>
      <c r="B155" s="264" t="s">
        <v>700</v>
      </c>
      <c r="C155" s="265">
        <f>C156</f>
        <v>0</v>
      </c>
    </row>
    <row r="156" spans="1:3" ht="15" hidden="1">
      <c r="A156" s="267" t="s">
        <v>701</v>
      </c>
      <c r="B156" s="264" t="s">
        <v>702</v>
      </c>
      <c r="C156" s="265"/>
    </row>
    <row r="157" spans="1:3" ht="24">
      <c r="A157" s="268" t="s">
        <v>703</v>
      </c>
      <c r="B157" s="264" t="s">
        <v>704</v>
      </c>
      <c r="C157" s="265">
        <f>C162+C164+C168+C170+C172+C174+C180+C158+C166+C176+C178+C160</f>
        <v>105193.16600000001</v>
      </c>
    </row>
    <row r="158" spans="1:3" ht="15">
      <c r="A158" s="267" t="s">
        <v>705</v>
      </c>
      <c r="B158" s="264" t="s">
        <v>951</v>
      </c>
      <c r="C158" s="265">
        <f>C159</f>
        <v>2680</v>
      </c>
    </row>
    <row r="159" spans="1:3" ht="15">
      <c r="A159" s="267" t="s">
        <v>339</v>
      </c>
      <c r="B159" s="264" t="s">
        <v>340</v>
      </c>
      <c r="C159" s="265">
        <v>2680</v>
      </c>
    </row>
    <row r="160" spans="1:3" ht="24">
      <c r="A160" s="267" t="s">
        <v>918</v>
      </c>
      <c r="B160" s="264" t="s">
        <v>920</v>
      </c>
      <c r="C160" s="265">
        <f>C161</f>
        <v>1500</v>
      </c>
    </row>
    <row r="161" spans="1:3" ht="24" customHeight="1">
      <c r="A161" s="296" t="s">
        <v>919</v>
      </c>
      <c r="B161" s="264" t="s">
        <v>921</v>
      </c>
      <c r="C161" s="265">
        <v>1500</v>
      </c>
    </row>
    <row r="162" spans="1:3" ht="28.5" customHeight="1" hidden="1">
      <c r="A162" s="267" t="s">
        <v>341</v>
      </c>
      <c r="B162" s="264" t="s">
        <v>342</v>
      </c>
      <c r="C162" s="265">
        <f>C163</f>
        <v>0</v>
      </c>
    </row>
    <row r="163" spans="1:3" ht="24" hidden="1">
      <c r="A163" s="267" t="s">
        <v>1253</v>
      </c>
      <c r="B163" s="264" t="s">
        <v>1254</v>
      </c>
      <c r="C163" s="265">
        <v>0</v>
      </c>
    </row>
    <row r="164" spans="1:3" ht="36" hidden="1">
      <c r="A164" s="267" t="s">
        <v>1255</v>
      </c>
      <c r="B164" s="264" t="s">
        <v>1256</v>
      </c>
      <c r="C164" s="265">
        <f>C165</f>
        <v>0</v>
      </c>
    </row>
    <row r="165" spans="1:3" ht="24" hidden="1">
      <c r="A165" s="267" t="s">
        <v>1257</v>
      </c>
      <c r="B165" s="264" t="s">
        <v>1258</v>
      </c>
      <c r="C165" s="265">
        <v>0</v>
      </c>
    </row>
    <row r="166" spans="1:3" ht="39.75" customHeight="1" hidden="1">
      <c r="A166" s="267" t="s">
        <v>1259</v>
      </c>
      <c r="B166" s="264" t="s">
        <v>1260</v>
      </c>
      <c r="C166" s="265">
        <f>C167</f>
        <v>0</v>
      </c>
    </row>
    <row r="167" spans="1:3" ht="24" hidden="1">
      <c r="A167" s="267" t="s">
        <v>1261</v>
      </c>
      <c r="B167" s="264" t="s">
        <v>1262</v>
      </c>
      <c r="C167" s="265">
        <v>0</v>
      </c>
    </row>
    <row r="168" spans="1:3" ht="48.75" customHeight="1" hidden="1">
      <c r="A168" s="267" t="s">
        <v>297</v>
      </c>
      <c r="B168" s="264" t="s">
        <v>298</v>
      </c>
      <c r="C168" s="265">
        <f>C169</f>
        <v>0</v>
      </c>
    </row>
    <row r="169" spans="1:3" ht="37.5" customHeight="1" hidden="1">
      <c r="A169" s="267" t="s">
        <v>969</v>
      </c>
      <c r="B169" s="264" t="s">
        <v>970</v>
      </c>
      <c r="C169" s="265"/>
    </row>
    <row r="170" spans="1:3" ht="60" hidden="1">
      <c r="A170" s="267" t="s">
        <v>212</v>
      </c>
      <c r="B170" s="264" t="s">
        <v>213</v>
      </c>
      <c r="C170" s="265">
        <f>C171</f>
        <v>0</v>
      </c>
    </row>
    <row r="171" spans="1:3" ht="48" hidden="1">
      <c r="A171" s="267" t="s">
        <v>214</v>
      </c>
      <c r="B171" s="264" t="s">
        <v>215</v>
      </c>
      <c r="C171" s="265"/>
    </row>
    <row r="172" spans="1:3" ht="48" hidden="1">
      <c r="A172" s="267" t="s">
        <v>127</v>
      </c>
      <c r="B172" s="264" t="s">
        <v>128</v>
      </c>
      <c r="C172" s="265">
        <f>C173</f>
        <v>0</v>
      </c>
    </row>
    <row r="173" spans="1:3" ht="24" hidden="1">
      <c r="A173" s="267" t="s">
        <v>129</v>
      </c>
      <c r="B173" s="264" t="s">
        <v>130</v>
      </c>
      <c r="C173" s="265"/>
    </row>
    <row r="174" spans="1:3" ht="24" hidden="1">
      <c r="A174" s="267" t="s">
        <v>131</v>
      </c>
      <c r="B174" s="264" t="s">
        <v>132</v>
      </c>
      <c r="C174" s="265">
        <f>C175</f>
        <v>0</v>
      </c>
    </row>
    <row r="175" spans="1:3" ht="36" hidden="1">
      <c r="A175" s="267" t="s">
        <v>1438</v>
      </c>
      <c r="B175" s="264" t="s">
        <v>1439</v>
      </c>
      <c r="C175" s="265"/>
    </row>
    <row r="176" spans="1:3" ht="36">
      <c r="A176" s="267" t="s">
        <v>698</v>
      </c>
      <c r="B176" s="264" t="s">
        <v>149</v>
      </c>
      <c r="C176" s="265">
        <f>C177</f>
        <v>4967.6</v>
      </c>
    </row>
    <row r="177" spans="1:3" ht="36">
      <c r="A177" s="267" t="s">
        <v>697</v>
      </c>
      <c r="B177" s="264" t="s">
        <v>696</v>
      </c>
      <c r="C177" s="265">
        <v>4967.6</v>
      </c>
    </row>
    <row r="178" spans="1:4" ht="14.25" customHeight="1">
      <c r="A178" s="296" t="s">
        <v>905</v>
      </c>
      <c r="B178" s="293" t="s">
        <v>1138</v>
      </c>
      <c r="C178" s="265">
        <f>C179</f>
        <v>3537.366</v>
      </c>
      <c r="D178" s="267"/>
    </row>
    <row r="179" spans="1:4" ht="24" customHeight="1">
      <c r="A179" s="296" t="s">
        <v>109</v>
      </c>
      <c r="B179" s="293" t="s">
        <v>1263</v>
      </c>
      <c r="C179" s="265">
        <f>1083+2454.366</f>
        <v>3537.366</v>
      </c>
      <c r="D179" s="267"/>
    </row>
    <row r="180" spans="1:3" ht="15">
      <c r="A180" s="267" t="s">
        <v>1440</v>
      </c>
      <c r="B180" s="264" t="s">
        <v>1441</v>
      </c>
      <c r="C180" s="265">
        <f>C181</f>
        <v>92508.20000000001</v>
      </c>
    </row>
    <row r="181" spans="1:3" ht="15">
      <c r="A181" s="267" t="s">
        <v>1442</v>
      </c>
      <c r="B181" s="264" t="s">
        <v>1443</v>
      </c>
      <c r="C181" s="265">
        <f>365+9038+30251+2000+500+10000+6028.4+7166.8+27159</f>
        <v>92508.20000000001</v>
      </c>
    </row>
    <row r="182" spans="1:3" ht="15">
      <c r="A182" s="268" t="s">
        <v>1444</v>
      </c>
      <c r="B182" s="264" t="s">
        <v>1445</v>
      </c>
      <c r="C182" s="265">
        <f>C187+C189+C191+C193+C195+C197+C209+C199+C201+C183+C203+C205+C185+C207</f>
        <v>1612819.2</v>
      </c>
    </row>
    <row r="183" spans="1:3" ht="27" customHeight="1" hidden="1">
      <c r="A183" s="267" t="s">
        <v>1446</v>
      </c>
      <c r="B183" s="264" t="s">
        <v>1447</v>
      </c>
      <c r="C183" s="265">
        <f>C184</f>
        <v>0</v>
      </c>
    </row>
    <row r="184" spans="1:3" ht="24" hidden="1">
      <c r="A184" s="267" t="s">
        <v>1448</v>
      </c>
      <c r="B184" s="264" t="s">
        <v>1449</v>
      </c>
      <c r="C184" s="265"/>
    </row>
    <row r="185" spans="1:3" ht="36" hidden="1">
      <c r="A185" s="267" t="s">
        <v>1450</v>
      </c>
      <c r="B185" s="264" t="s">
        <v>1451</v>
      </c>
      <c r="C185" s="265">
        <f>C186</f>
        <v>0</v>
      </c>
    </row>
    <row r="186" spans="1:3" ht="36" hidden="1">
      <c r="A186" s="267" t="s">
        <v>1114</v>
      </c>
      <c r="B186" s="264" t="s">
        <v>1115</v>
      </c>
      <c r="C186" s="265"/>
    </row>
    <row r="187" spans="1:3" ht="24">
      <c r="A187" s="267" t="s">
        <v>1116</v>
      </c>
      <c r="B187" s="264" t="s">
        <v>1117</v>
      </c>
      <c r="C187" s="265">
        <f>C188</f>
        <v>9019</v>
      </c>
    </row>
    <row r="188" spans="1:3" ht="24">
      <c r="A188" s="267" t="s">
        <v>1317</v>
      </c>
      <c r="B188" s="264" t="s">
        <v>1318</v>
      </c>
      <c r="C188" s="265">
        <v>9019</v>
      </c>
    </row>
    <row r="189" spans="1:3" ht="24">
      <c r="A189" s="267" t="s">
        <v>257</v>
      </c>
      <c r="B189" s="264" t="s">
        <v>258</v>
      </c>
      <c r="C189" s="265">
        <f>C190</f>
        <v>33291</v>
      </c>
    </row>
    <row r="190" spans="1:3" ht="24">
      <c r="A190" s="267" t="s">
        <v>259</v>
      </c>
      <c r="B190" s="264" t="s">
        <v>260</v>
      </c>
      <c r="C190" s="265">
        <f>29891+2400+1000</f>
        <v>33291</v>
      </c>
    </row>
    <row r="191" spans="1:3" ht="24">
      <c r="A191" s="267" t="s">
        <v>261</v>
      </c>
      <c r="B191" s="264" t="s">
        <v>262</v>
      </c>
      <c r="C191" s="265">
        <f>C192</f>
        <v>132583</v>
      </c>
    </row>
    <row r="192" spans="1:3" ht="24">
      <c r="A192" s="267" t="s">
        <v>111</v>
      </c>
      <c r="B192" s="264" t="s">
        <v>112</v>
      </c>
      <c r="C192" s="265">
        <f>136482-3459-440</f>
        <v>132583</v>
      </c>
    </row>
    <row r="193" spans="1:3" ht="48" hidden="1">
      <c r="A193" s="267" t="s">
        <v>273</v>
      </c>
      <c r="B193" s="264" t="s">
        <v>274</v>
      </c>
      <c r="C193" s="265">
        <f>C194</f>
        <v>0</v>
      </c>
    </row>
    <row r="194" spans="1:3" ht="48" hidden="1">
      <c r="A194" s="267" t="s">
        <v>1125</v>
      </c>
      <c r="B194" s="264" t="s">
        <v>1126</v>
      </c>
      <c r="C194" s="265">
        <f>1727-1727</f>
        <v>0</v>
      </c>
    </row>
    <row r="195" spans="1:3" ht="48">
      <c r="A195" s="267" t="s">
        <v>1127</v>
      </c>
      <c r="B195" s="264" t="s">
        <v>1128</v>
      </c>
      <c r="C195" s="265">
        <f>C196</f>
        <v>35862</v>
      </c>
    </row>
    <row r="196" spans="1:3" ht="48">
      <c r="A196" s="267" t="s">
        <v>408</v>
      </c>
      <c r="B196" s="264" t="s">
        <v>409</v>
      </c>
      <c r="C196" s="265">
        <f>40492-4630</f>
        <v>35862</v>
      </c>
    </row>
    <row r="197" spans="1:3" ht="36">
      <c r="A197" s="267" t="s">
        <v>410</v>
      </c>
      <c r="B197" s="264" t="s">
        <v>411</v>
      </c>
      <c r="C197" s="265">
        <f>C198</f>
        <v>0</v>
      </c>
    </row>
    <row r="198" spans="1:3" ht="36">
      <c r="A198" s="267" t="s">
        <v>1413</v>
      </c>
      <c r="B198" s="264" t="s">
        <v>1414</v>
      </c>
      <c r="C198" s="265"/>
    </row>
    <row r="199" spans="1:3" ht="60">
      <c r="A199" s="267" t="s">
        <v>1415</v>
      </c>
      <c r="B199" s="264" t="s">
        <v>1147</v>
      </c>
      <c r="C199" s="265">
        <f>C200</f>
        <v>0</v>
      </c>
    </row>
    <row r="200" spans="1:3" ht="60">
      <c r="A200" s="267" t="s">
        <v>1148</v>
      </c>
      <c r="B200" s="264" t="s">
        <v>1149</v>
      </c>
      <c r="C200" s="265">
        <f>1790.3-1790.3</f>
        <v>0</v>
      </c>
    </row>
    <row r="201" spans="1:3" ht="48">
      <c r="A201" s="267" t="s">
        <v>547</v>
      </c>
      <c r="B201" s="264" t="s">
        <v>548</v>
      </c>
      <c r="C201" s="265">
        <f>C202</f>
        <v>3688.2</v>
      </c>
    </row>
    <row r="202" spans="1:3" ht="48">
      <c r="A202" s="267" t="s">
        <v>549</v>
      </c>
      <c r="B202" s="264" t="s">
        <v>550</v>
      </c>
      <c r="C202" s="265">
        <f>1790.3+895.2+1002.7</f>
        <v>3688.2</v>
      </c>
    </row>
    <row r="203" spans="1:3" ht="15.75" customHeight="1">
      <c r="A203" s="267" t="s">
        <v>551</v>
      </c>
      <c r="B203" s="264" t="s">
        <v>552</v>
      </c>
      <c r="C203" s="265">
        <f>C204</f>
        <v>0</v>
      </c>
    </row>
    <row r="204" spans="1:3" ht="24">
      <c r="A204" s="267" t="s">
        <v>553</v>
      </c>
      <c r="B204" s="264" t="s">
        <v>554</v>
      </c>
      <c r="C204" s="265"/>
    </row>
    <row r="205" spans="1:3" ht="15">
      <c r="A205" s="267" t="s">
        <v>555</v>
      </c>
      <c r="B205" s="264" t="s">
        <v>556</v>
      </c>
      <c r="C205" s="265">
        <f>C206</f>
        <v>0</v>
      </c>
    </row>
    <row r="206" spans="1:3" ht="24">
      <c r="A206" s="267" t="s">
        <v>557</v>
      </c>
      <c r="B206" s="264" t="s">
        <v>558</v>
      </c>
      <c r="C206" s="265"/>
    </row>
    <row r="207" spans="1:3" ht="38.25" customHeight="1">
      <c r="A207" s="267" t="s">
        <v>176</v>
      </c>
      <c r="B207" s="264" t="s">
        <v>177</v>
      </c>
      <c r="C207" s="265">
        <f>C208</f>
        <v>28167</v>
      </c>
    </row>
    <row r="208" spans="1:3" ht="36">
      <c r="A208" s="267" t="s">
        <v>432</v>
      </c>
      <c r="B208" s="264" t="s">
        <v>433</v>
      </c>
      <c r="C208" s="265">
        <f>29471+1727-3031</f>
        <v>28167</v>
      </c>
    </row>
    <row r="209" spans="1:3" ht="13.5" customHeight="1">
      <c r="A209" s="267" t="s">
        <v>434</v>
      </c>
      <c r="B209" s="264" t="s">
        <v>435</v>
      </c>
      <c r="C209" s="265">
        <f>C210</f>
        <v>1370209</v>
      </c>
    </row>
    <row r="210" spans="1:3" ht="15">
      <c r="A210" s="267" t="s">
        <v>436</v>
      </c>
      <c r="B210" s="264" t="s">
        <v>437</v>
      </c>
      <c r="C210" s="265">
        <f>1354652+3240-40492+33357+72-2067+711+221+18000+2515</f>
        <v>1370209</v>
      </c>
    </row>
    <row r="211" spans="1:3" ht="15">
      <c r="A211" s="267" t="s">
        <v>438</v>
      </c>
      <c r="B211" s="264" t="s">
        <v>439</v>
      </c>
      <c r="C211" s="265">
        <f>C212+C216+C220+C214+C218</f>
        <v>15357</v>
      </c>
    </row>
    <row r="212" spans="1:3" ht="48">
      <c r="A212" s="267" t="s">
        <v>1416</v>
      </c>
      <c r="B212" s="264" t="s">
        <v>1119</v>
      </c>
      <c r="C212" s="265">
        <f>C213</f>
        <v>0</v>
      </c>
    </row>
    <row r="213" spans="1:3" ht="48">
      <c r="A213" s="267" t="s">
        <v>1120</v>
      </c>
      <c r="B213" s="264" t="s">
        <v>1121</v>
      </c>
      <c r="C213" s="265"/>
    </row>
    <row r="214" spans="1:3" ht="36">
      <c r="A214" s="267" t="s">
        <v>670</v>
      </c>
      <c r="B214" s="264" t="s">
        <v>671</v>
      </c>
      <c r="C214" s="265">
        <f>C215</f>
        <v>10681</v>
      </c>
    </row>
    <row r="215" spans="1:3" ht="36">
      <c r="A215" s="267" t="s">
        <v>670</v>
      </c>
      <c r="B215" s="264" t="s">
        <v>672</v>
      </c>
      <c r="C215" s="265">
        <f>5900+2400+822+1559</f>
        <v>10681</v>
      </c>
    </row>
    <row r="216" spans="1:3" ht="36">
      <c r="A216" s="267" t="s">
        <v>673</v>
      </c>
      <c r="B216" s="264" t="s">
        <v>674</v>
      </c>
      <c r="C216" s="265">
        <f>C217</f>
        <v>0</v>
      </c>
    </row>
    <row r="217" spans="1:3" ht="24">
      <c r="A217" s="267" t="s">
        <v>675</v>
      </c>
      <c r="B217" s="264" t="s">
        <v>676</v>
      </c>
      <c r="C217" s="265"/>
    </row>
    <row r="218" spans="1:3" ht="36.75" customHeight="1">
      <c r="A218" s="296" t="s">
        <v>354</v>
      </c>
      <c r="B218" s="314" t="s">
        <v>357</v>
      </c>
      <c r="C218" s="265">
        <f>C219</f>
        <v>4676</v>
      </c>
    </row>
    <row r="219" spans="1:3" ht="36.75" customHeight="1">
      <c r="A219" s="296" t="s">
        <v>355</v>
      </c>
      <c r="B219" s="314" t="s">
        <v>356</v>
      </c>
      <c r="C219" s="265">
        <v>4676</v>
      </c>
    </row>
    <row r="220" spans="1:3" ht="14.25" customHeight="1">
      <c r="A220" s="267" t="s">
        <v>677</v>
      </c>
      <c r="B220" s="264" t="s">
        <v>678</v>
      </c>
      <c r="C220" s="265">
        <f>C221</f>
        <v>0</v>
      </c>
    </row>
    <row r="221" spans="1:3" ht="14.25" customHeight="1">
      <c r="A221" s="267" t="s">
        <v>679</v>
      </c>
      <c r="B221" s="264" t="s">
        <v>680</v>
      </c>
      <c r="C221" s="265">
        <f>9241-9241</f>
        <v>0</v>
      </c>
    </row>
    <row r="222" spans="1:3" ht="15">
      <c r="A222" s="267" t="s">
        <v>681</v>
      </c>
      <c r="B222" s="264" t="s">
        <v>682</v>
      </c>
      <c r="C222" s="265">
        <f>C223</f>
        <v>3490.897</v>
      </c>
    </row>
    <row r="223" spans="1:3" ht="15">
      <c r="A223" s="267" t="s">
        <v>683</v>
      </c>
      <c r="B223" s="264" t="s">
        <v>684</v>
      </c>
      <c r="C223" s="265">
        <f>C225+C226+C224</f>
        <v>3490.897</v>
      </c>
    </row>
    <row r="224" spans="1:3" ht="48">
      <c r="A224" s="267" t="s">
        <v>861</v>
      </c>
      <c r="B224" s="264" t="s">
        <v>860</v>
      </c>
      <c r="C224" s="265">
        <v>750</v>
      </c>
    </row>
    <row r="225" spans="1:3" ht="24">
      <c r="A225" s="267" t="s">
        <v>685</v>
      </c>
      <c r="B225" s="264" t="s">
        <v>686</v>
      </c>
      <c r="C225" s="265">
        <v>502.81</v>
      </c>
    </row>
    <row r="226" spans="1:3" ht="15">
      <c r="A226" s="267" t="s">
        <v>687</v>
      </c>
      <c r="B226" s="264" t="s">
        <v>688</v>
      </c>
      <c r="C226" s="265">
        <f>1924.742+313.345</f>
        <v>2238.087</v>
      </c>
    </row>
    <row r="227" spans="1:3" ht="36">
      <c r="A227" s="284" t="s">
        <v>147</v>
      </c>
      <c r="B227" s="264" t="s">
        <v>148</v>
      </c>
      <c r="C227" s="265">
        <f>C228</f>
        <v>-65689.08961000001</v>
      </c>
    </row>
    <row r="228" spans="1:3" ht="27" customHeight="1">
      <c r="A228" s="284" t="s">
        <v>706</v>
      </c>
      <c r="B228" s="264" t="s">
        <v>707</v>
      </c>
      <c r="C228" s="265">
        <f>-65069.343+1349.19792-1669.79-37.32153-100-131.833-30</f>
        <v>-65689.08961000001</v>
      </c>
    </row>
    <row r="229" spans="1:3" ht="15">
      <c r="A229" s="285" t="s">
        <v>708</v>
      </c>
      <c r="B229" s="260" t="s">
        <v>709</v>
      </c>
      <c r="C229" s="286">
        <f>C19+C153</f>
        <v>4763617.77039</v>
      </c>
    </row>
    <row r="230" ht="12.75">
      <c r="B230" s="287"/>
    </row>
    <row r="231" ht="12.75">
      <c r="B231" s="287"/>
    </row>
    <row r="232" ht="12.75">
      <c r="B232" s="287"/>
    </row>
    <row r="233" ht="12.75">
      <c r="B233" s="287"/>
    </row>
    <row r="234" ht="12.75">
      <c r="B234" s="287"/>
    </row>
    <row r="235" ht="12.75">
      <c r="B235" s="287"/>
    </row>
    <row r="236" ht="12.75">
      <c r="B236" s="287"/>
    </row>
    <row r="237" ht="12.75">
      <c r="B237" s="287"/>
    </row>
    <row r="238" ht="12.75">
      <c r="B238" s="287"/>
    </row>
    <row r="239" ht="12.75">
      <c r="B239" s="287"/>
    </row>
    <row r="240" ht="12.75">
      <c r="B240" s="287"/>
    </row>
    <row r="241" ht="12.75">
      <c r="B241" s="287"/>
    </row>
    <row r="242" ht="12.75">
      <c r="B242" s="287"/>
    </row>
    <row r="243" ht="12.75">
      <c r="B243" s="287"/>
    </row>
    <row r="244" ht="12.75">
      <c r="B244" s="287"/>
    </row>
    <row r="245" ht="12.75">
      <c r="B245" s="287"/>
    </row>
    <row r="246" ht="12.75">
      <c r="B246" s="287"/>
    </row>
    <row r="247" ht="12.75">
      <c r="B247" s="287"/>
    </row>
    <row r="248" ht="12.75">
      <c r="B248" s="287"/>
    </row>
    <row r="249" ht="12.75">
      <c r="B249" s="287"/>
    </row>
    <row r="250" ht="12.75">
      <c r="B250" s="287"/>
    </row>
    <row r="251" ht="12.75">
      <c r="B251" s="287"/>
    </row>
    <row r="252" ht="12.75">
      <c r="B252" s="287"/>
    </row>
    <row r="253" ht="12.75">
      <c r="B253" s="287"/>
    </row>
    <row r="254" ht="12.75">
      <c r="B254" s="287"/>
    </row>
    <row r="255" ht="12.75">
      <c r="B255" s="287"/>
    </row>
    <row r="256" ht="12.75">
      <c r="B256" s="287"/>
    </row>
    <row r="257" ht="12.75">
      <c r="B257" s="287"/>
    </row>
    <row r="258" ht="12.75">
      <c r="B258" s="287"/>
    </row>
    <row r="259" ht="12.75">
      <c r="B259" s="287"/>
    </row>
    <row r="260" ht="12.75">
      <c r="B260" s="287"/>
    </row>
    <row r="261" ht="12.75">
      <c r="B261" s="287"/>
    </row>
  </sheetData>
  <sheetProtection/>
  <mergeCells count="4">
    <mergeCell ref="A15:C15"/>
    <mergeCell ref="A17:A18"/>
    <mergeCell ref="B17:B18"/>
    <mergeCell ref="C17:C18"/>
  </mergeCells>
  <dataValidations count="1">
    <dataValidation allowBlank="1" promptTitle="Расчетное значение" prompt="Считается автоматически" sqref="A15:C15 C14:C17 C19:C65536"/>
  </dataValidations>
  <printOptions/>
  <pageMargins left="0.7480314960629921" right="0.35433070866141736" top="0.7874015748031497" bottom="0.7874015748031497" header="0.5118110236220472" footer="0.5118110236220472"/>
  <pageSetup firstPageNumber="1" useFirstPageNumber="1" horizontalDpi="600" verticalDpi="600" orientation="portrait" paperSize="9"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2:U1415"/>
  <sheetViews>
    <sheetView showGridLines="0" showZeros="0" view="pageBreakPreview" zoomScaleSheetLayoutView="100" zoomScalePageLayoutView="0" workbookViewId="0" topLeftCell="A1">
      <selection activeCell="G4" sqref="G4"/>
    </sheetView>
  </sheetViews>
  <sheetFormatPr defaultColWidth="9.50390625" defaultRowHeight="12.75"/>
  <cols>
    <col min="1" max="1" width="34.00390625" style="7" customWidth="1"/>
    <col min="2" max="3" width="3.50390625" style="8" customWidth="1"/>
    <col min="4" max="4" width="11.50390625" style="8" customWidth="1"/>
    <col min="5" max="5" width="3.50390625" style="8" customWidth="1"/>
    <col min="6" max="6" width="12.50390625" style="9" customWidth="1"/>
    <col min="7" max="7" width="14.50390625" style="11" customWidth="1"/>
    <col min="8" max="8" width="11.75390625" style="11" customWidth="1"/>
    <col min="9" max="9" width="17.50390625" style="72" customWidth="1"/>
    <col min="10" max="10" width="15.50390625" style="73" customWidth="1"/>
    <col min="11" max="11" width="6.125" style="72" customWidth="1"/>
    <col min="12" max="12" width="14.00390625" style="72" customWidth="1"/>
    <col min="13" max="13" width="15.50390625" style="72" customWidth="1"/>
    <col min="14" max="21" width="9.50390625" style="72" customWidth="1"/>
    <col min="22" max="16384" width="9.50390625" style="11" customWidth="1"/>
  </cols>
  <sheetData>
    <row r="1" ht="15"/>
    <row r="2" spans="7:8" ht="15">
      <c r="G2" s="10" t="s">
        <v>853</v>
      </c>
      <c r="H2" s="228"/>
    </row>
    <row r="3" ht="15">
      <c r="G3" s="10" t="s">
        <v>866</v>
      </c>
    </row>
    <row r="4" spans="7:8" ht="15">
      <c r="G4" s="103" t="s">
        <v>1527</v>
      </c>
      <c r="H4" s="103"/>
    </row>
    <row r="5" spans="7:8" ht="9" customHeight="1">
      <c r="G5" s="127"/>
      <c r="H5" s="127"/>
    </row>
    <row r="6" spans="7:8" ht="13.5" customHeight="1">
      <c r="G6" s="10" t="s">
        <v>338</v>
      </c>
      <c r="H6" s="228"/>
    </row>
    <row r="7" ht="14.25" customHeight="1">
      <c r="G7" s="10" t="s">
        <v>866</v>
      </c>
    </row>
    <row r="8" spans="7:8" ht="13.5" customHeight="1">
      <c r="G8" s="103" t="s">
        <v>790</v>
      </c>
      <c r="H8" s="103"/>
    </row>
    <row r="9" spans="7:8" ht="18.75" customHeight="1">
      <c r="G9" s="103"/>
      <c r="H9" s="103"/>
    </row>
    <row r="10" spans="1:8" ht="15.75" customHeight="1">
      <c r="A10" s="327" t="s">
        <v>753</v>
      </c>
      <c r="B10" s="327"/>
      <c r="C10" s="327"/>
      <c r="D10" s="327"/>
      <c r="E10" s="327"/>
      <c r="F10" s="327"/>
      <c r="G10" s="327"/>
      <c r="H10" s="327"/>
    </row>
    <row r="11" spans="1:8" ht="17.25" customHeight="1">
      <c r="A11" s="327" t="s">
        <v>337</v>
      </c>
      <c r="B11" s="327"/>
      <c r="C11" s="327"/>
      <c r="D11" s="327"/>
      <c r="E11" s="327"/>
      <c r="F11" s="327"/>
      <c r="G11" s="327"/>
      <c r="H11" s="327"/>
    </row>
    <row r="12" spans="1:8" ht="12" customHeight="1">
      <c r="A12" s="328" t="s">
        <v>479</v>
      </c>
      <c r="B12" s="328"/>
      <c r="C12" s="328"/>
      <c r="D12" s="328"/>
      <c r="E12" s="328"/>
      <c r="F12" s="328"/>
      <c r="G12" s="328"/>
      <c r="H12" s="328"/>
    </row>
    <row r="13" spans="1:8" ht="16.5" customHeight="1">
      <c r="A13" s="326" t="s">
        <v>565</v>
      </c>
      <c r="B13" s="326"/>
      <c r="C13" s="326"/>
      <c r="D13" s="326"/>
      <c r="E13" s="326"/>
      <c r="F13" s="326"/>
      <c r="G13" s="326"/>
      <c r="H13" s="326"/>
    </row>
    <row r="14" spans="1:8" ht="15.75" customHeight="1">
      <c r="A14" s="235"/>
      <c r="B14" s="235"/>
      <c r="C14" s="235"/>
      <c r="D14" s="235"/>
      <c r="E14" s="235"/>
      <c r="F14" s="235"/>
      <c r="G14" s="235"/>
      <c r="H14" s="235"/>
    </row>
    <row r="15" spans="1:8" ht="12" customHeight="1" thickBot="1">
      <c r="A15" s="11"/>
      <c r="B15" s="12"/>
      <c r="C15" s="12"/>
      <c r="D15" s="12"/>
      <c r="E15" s="12"/>
      <c r="F15" s="12"/>
      <c r="G15" s="12"/>
      <c r="H15" s="13" t="s">
        <v>867</v>
      </c>
    </row>
    <row r="16" spans="1:21" s="14" customFormat="1" ht="12" customHeight="1">
      <c r="A16" s="329" t="s">
        <v>784</v>
      </c>
      <c r="B16" s="331" t="s">
        <v>1208</v>
      </c>
      <c r="C16" s="332"/>
      <c r="D16" s="332"/>
      <c r="E16" s="333"/>
      <c r="F16" s="334" t="s">
        <v>785</v>
      </c>
      <c r="G16" s="336" t="s">
        <v>786</v>
      </c>
      <c r="H16" s="337"/>
      <c r="I16" s="74"/>
      <c r="J16" s="75"/>
      <c r="K16" s="74"/>
      <c r="L16" s="74"/>
      <c r="M16" s="74"/>
      <c r="N16" s="74"/>
      <c r="O16" s="74"/>
      <c r="P16" s="74"/>
      <c r="Q16" s="74"/>
      <c r="R16" s="74"/>
      <c r="S16" s="74"/>
      <c r="T16" s="74"/>
      <c r="U16" s="74"/>
    </row>
    <row r="17" spans="1:21" s="14" customFormat="1" ht="60" customHeight="1" thickBot="1">
      <c r="A17" s="330"/>
      <c r="B17" s="104" t="s">
        <v>180</v>
      </c>
      <c r="C17" s="104" t="s">
        <v>181</v>
      </c>
      <c r="D17" s="104" t="s">
        <v>182</v>
      </c>
      <c r="E17" s="104" t="s">
        <v>183</v>
      </c>
      <c r="F17" s="335"/>
      <c r="G17" s="105" t="s">
        <v>1207</v>
      </c>
      <c r="H17" s="106" t="s">
        <v>62</v>
      </c>
      <c r="I17" s="74"/>
      <c r="J17" s="75"/>
      <c r="K17" s="74"/>
      <c r="L17" s="74"/>
      <c r="M17" s="74"/>
      <c r="N17" s="74"/>
      <c r="O17" s="74"/>
      <c r="P17" s="74"/>
      <c r="Q17" s="74"/>
      <c r="R17" s="74"/>
      <c r="S17" s="74"/>
      <c r="T17" s="74"/>
      <c r="U17" s="74"/>
    </row>
    <row r="18" spans="1:13" ht="24.75" customHeight="1">
      <c r="A18" s="154" t="s">
        <v>192</v>
      </c>
      <c r="B18" s="155"/>
      <c r="C18" s="155"/>
      <c r="D18" s="155"/>
      <c r="E18" s="155"/>
      <c r="F18" s="241">
        <f>F19+F219+F225+F268+F347+F432+F450+F747+F841+F943+F1121+F1158+F1184+F1190</f>
        <v>5185561.400000001</v>
      </c>
      <c r="G18" s="241">
        <f>G19+G219+G225+G268+G347+G432+G450+G747+G841+G943+G1121+G1158+G1184+G1190</f>
        <v>3572742.2</v>
      </c>
      <c r="H18" s="241">
        <f>H19+H219+H225+H268+H347+H432+H450+H747+H841+H943+H1121+H1158+H1184+H1190</f>
        <v>1612819.2</v>
      </c>
      <c r="I18" s="108"/>
      <c r="J18" s="77"/>
      <c r="K18" s="77"/>
      <c r="L18" s="77"/>
      <c r="M18" s="168"/>
    </row>
    <row r="19" spans="1:9" ht="25.5">
      <c r="A19" s="156" t="s">
        <v>911</v>
      </c>
      <c r="B19" s="21" t="s">
        <v>184</v>
      </c>
      <c r="C19" s="21"/>
      <c r="D19" s="17"/>
      <c r="E19" s="17"/>
      <c r="F19" s="22">
        <f>F20+F28+F47+F94+F98+F129+F135+F140+F132</f>
        <v>812499.1</v>
      </c>
      <c r="G19" s="22">
        <f>G20+G28+G47+G94+G98+G129+G135+G140+G132</f>
        <v>794399.1</v>
      </c>
      <c r="H19" s="22">
        <f>H20+H28+H47+H94+H98+H129+H135+H140+H132</f>
        <v>18100</v>
      </c>
      <c r="I19" s="128"/>
    </row>
    <row r="20" spans="1:8" ht="48">
      <c r="A20" s="157" t="s">
        <v>218</v>
      </c>
      <c r="B20" s="17" t="s">
        <v>184</v>
      </c>
      <c r="C20" s="54" t="s">
        <v>1154</v>
      </c>
      <c r="D20" s="17"/>
      <c r="E20" s="17"/>
      <c r="F20" s="85">
        <f>F21</f>
        <v>2985.3</v>
      </c>
      <c r="G20" s="19">
        <f>G21</f>
        <v>2985.3</v>
      </c>
      <c r="H20" s="19">
        <f>H21</f>
        <v>0</v>
      </c>
    </row>
    <row r="21" spans="1:8" ht="23.25" customHeight="1">
      <c r="A21" s="32" t="s">
        <v>603</v>
      </c>
      <c r="B21" s="54" t="s">
        <v>184</v>
      </c>
      <c r="C21" s="54" t="s">
        <v>1154</v>
      </c>
      <c r="D21" s="17" t="s">
        <v>458</v>
      </c>
      <c r="E21" s="54"/>
      <c r="F21" s="85">
        <f>F22</f>
        <v>2985.3</v>
      </c>
      <c r="G21" s="19">
        <f>G23</f>
        <v>2985.3</v>
      </c>
      <c r="H21" s="19">
        <f>H23</f>
        <v>0</v>
      </c>
    </row>
    <row r="22" spans="1:8" ht="41.25" customHeight="1">
      <c r="A22" s="36" t="s">
        <v>1225</v>
      </c>
      <c r="B22" s="54" t="s">
        <v>184</v>
      </c>
      <c r="C22" s="54" t="s">
        <v>1154</v>
      </c>
      <c r="D22" s="17" t="s">
        <v>960</v>
      </c>
      <c r="E22" s="54"/>
      <c r="F22" s="85">
        <f>F23</f>
        <v>2985.3</v>
      </c>
      <c r="G22" s="19">
        <f>G26</f>
        <v>2819.7</v>
      </c>
      <c r="H22" s="19"/>
    </row>
    <row r="23" spans="1:8" ht="24">
      <c r="A23" s="158" t="s">
        <v>864</v>
      </c>
      <c r="B23" s="54" t="s">
        <v>184</v>
      </c>
      <c r="C23" s="54" t="s">
        <v>1154</v>
      </c>
      <c r="D23" s="17" t="s">
        <v>961</v>
      </c>
      <c r="E23" s="54" t="s">
        <v>1204</v>
      </c>
      <c r="F23" s="85">
        <f>F25</f>
        <v>2985.3</v>
      </c>
      <c r="G23" s="85">
        <f>G25</f>
        <v>2985.3</v>
      </c>
      <c r="H23" s="19">
        <f>H25</f>
        <v>0</v>
      </c>
    </row>
    <row r="24" spans="1:8" ht="72">
      <c r="A24" s="158" t="s">
        <v>485</v>
      </c>
      <c r="B24" s="54" t="s">
        <v>184</v>
      </c>
      <c r="C24" s="54" t="s">
        <v>1154</v>
      </c>
      <c r="D24" s="17" t="s">
        <v>961</v>
      </c>
      <c r="E24" s="54" t="s">
        <v>21</v>
      </c>
      <c r="F24" s="85">
        <f>F25</f>
        <v>2985.3</v>
      </c>
      <c r="G24" s="19">
        <f aca="true" t="shared" si="0" ref="G24:G53">F24-H24</f>
        <v>2985.3</v>
      </c>
      <c r="H24" s="19"/>
    </row>
    <row r="25" spans="1:8" ht="24">
      <c r="A25" s="158" t="s">
        <v>34</v>
      </c>
      <c r="B25" s="54" t="s">
        <v>184</v>
      </c>
      <c r="C25" s="54" t="s">
        <v>1154</v>
      </c>
      <c r="D25" s="17" t="s">
        <v>961</v>
      </c>
      <c r="E25" s="54" t="s">
        <v>416</v>
      </c>
      <c r="F25" s="55">
        <v>2985.3</v>
      </c>
      <c r="G25" s="19">
        <f t="shared" si="0"/>
        <v>2985.3</v>
      </c>
      <c r="H25" s="19">
        <f>H26+H27</f>
        <v>0</v>
      </c>
    </row>
    <row r="26" spans="1:8" ht="15" hidden="1">
      <c r="A26" s="158" t="s">
        <v>812</v>
      </c>
      <c r="B26" s="54" t="s">
        <v>184</v>
      </c>
      <c r="C26" s="54" t="s">
        <v>1154</v>
      </c>
      <c r="D26" s="17" t="s">
        <v>961</v>
      </c>
      <c r="E26" s="54" t="s">
        <v>813</v>
      </c>
      <c r="F26" s="55">
        <v>2819.7</v>
      </c>
      <c r="G26" s="19">
        <f t="shared" si="0"/>
        <v>2819.7</v>
      </c>
      <c r="H26" s="19"/>
    </row>
    <row r="27" spans="1:8" ht="24" hidden="1">
      <c r="A27" s="158" t="s">
        <v>949</v>
      </c>
      <c r="B27" s="54" t="s">
        <v>184</v>
      </c>
      <c r="C27" s="54" t="s">
        <v>1154</v>
      </c>
      <c r="D27" s="17" t="s">
        <v>961</v>
      </c>
      <c r="E27" s="54" t="s">
        <v>950</v>
      </c>
      <c r="F27" s="55">
        <v>165.7</v>
      </c>
      <c r="G27" s="19">
        <f t="shared" si="0"/>
        <v>165.7</v>
      </c>
      <c r="H27" s="19"/>
    </row>
    <row r="28" spans="1:8" ht="48">
      <c r="A28" s="31" t="s">
        <v>302</v>
      </c>
      <c r="B28" s="17" t="s">
        <v>184</v>
      </c>
      <c r="C28" s="17" t="s">
        <v>1340</v>
      </c>
      <c r="D28" s="17"/>
      <c r="E28" s="17"/>
      <c r="F28" s="19">
        <f>F29</f>
        <v>19176</v>
      </c>
      <c r="G28" s="19">
        <f t="shared" si="0"/>
        <v>19176</v>
      </c>
      <c r="H28" s="19">
        <f>H30</f>
        <v>0</v>
      </c>
    </row>
    <row r="29" spans="1:8" ht="24">
      <c r="A29" s="32" t="s">
        <v>328</v>
      </c>
      <c r="B29" s="17" t="s">
        <v>184</v>
      </c>
      <c r="C29" s="17" t="s">
        <v>1340</v>
      </c>
      <c r="D29" s="17" t="s">
        <v>458</v>
      </c>
      <c r="E29" s="17"/>
      <c r="F29" s="19">
        <f>F30</f>
        <v>19176</v>
      </c>
      <c r="G29" s="19">
        <f t="shared" si="0"/>
        <v>19176</v>
      </c>
      <c r="H29" s="19"/>
    </row>
    <row r="30" spans="1:8" ht="36">
      <c r="A30" s="36" t="s">
        <v>1225</v>
      </c>
      <c r="B30" s="17" t="s">
        <v>184</v>
      </c>
      <c r="C30" s="17" t="s">
        <v>1340</v>
      </c>
      <c r="D30" s="17" t="s">
        <v>960</v>
      </c>
      <c r="E30" s="17"/>
      <c r="F30" s="19">
        <f>F31+F43</f>
        <v>19176</v>
      </c>
      <c r="G30" s="19">
        <f t="shared" si="0"/>
        <v>19176</v>
      </c>
      <c r="H30" s="19">
        <f>SUM(H34:H43)</f>
        <v>0</v>
      </c>
    </row>
    <row r="31" spans="1:8" ht="24">
      <c r="A31" s="18" t="s">
        <v>633</v>
      </c>
      <c r="B31" s="17" t="s">
        <v>303</v>
      </c>
      <c r="C31" s="17" t="s">
        <v>1340</v>
      </c>
      <c r="D31" s="17" t="s">
        <v>962</v>
      </c>
      <c r="E31" s="17" t="s">
        <v>1204</v>
      </c>
      <c r="F31" s="85">
        <f>F32+F36+F40</f>
        <v>19171.3</v>
      </c>
      <c r="G31" s="19">
        <f t="shared" si="0"/>
        <v>19171.3</v>
      </c>
      <c r="H31" s="19">
        <f>H33+H37+H40</f>
        <v>0</v>
      </c>
    </row>
    <row r="32" spans="1:8" ht="72">
      <c r="A32" s="158" t="s">
        <v>485</v>
      </c>
      <c r="B32" s="17" t="s">
        <v>303</v>
      </c>
      <c r="C32" s="17" t="s">
        <v>1340</v>
      </c>
      <c r="D32" s="17" t="s">
        <v>962</v>
      </c>
      <c r="E32" s="17" t="s">
        <v>21</v>
      </c>
      <c r="F32" s="85">
        <f>F33</f>
        <v>18721.2</v>
      </c>
      <c r="G32" s="19">
        <f t="shared" si="0"/>
        <v>18721.2</v>
      </c>
      <c r="H32" s="19"/>
    </row>
    <row r="33" spans="1:8" ht="24">
      <c r="A33" s="158" t="s">
        <v>34</v>
      </c>
      <c r="B33" s="17" t="s">
        <v>303</v>
      </c>
      <c r="C33" s="17" t="s">
        <v>1340</v>
      </c>
      <c r="D33" s="17" t="s">
        <v>962</v>
      </c>
      <c r="E33" s="17" t="s">
        <v>416</v>
      </c>
      <c r="F33" s="55">
        <v>18721.2</v>
      </c>
      <c r="G33" s="19">
        <f t="shared" si="0"/>
        <v>18721.2</v>
      </c>
      <c r="H33" s="19">
        <f>H34</f>
        <v>0</v>
      </c>
    </row>
    <row r="34" spans="1:8" ht="15" hidden="1">
      <c r="A34" s="158" t="s">
        <v>812</v>
      </c>
      <c r="B34" s="17" t="s">
        <v>184</v>
      </c>
      <c r="C34" s="17" t="s">
        <v>1340</v>
      </c>
      <c r="D34" s="17" t="s">
        <v>962</v>
      </c>
      <c r="E34" s="17" t="s">
        <v>813</v>
      </c>
      <c r="F34" s="20">
        <v>18721.2</v>
      </c>
      <c r="G34" s="19">
        <f t="shared" si="0"/>
        <v>18721.2</v>
      </c>
      <c r="H34" s="19"/>
    </row>
    <row r="35" spans="1:8" ht="24" hidden="1">
      <c r="A35" s="158" t="s">
        <v>949</v>
      </c>
      <c r="B35" s="17" t="s">
        <v>184</v>
      </c>
      <c r="C35" s="17" t="s">
        <v>1340</v>
      </c>
      <c r="D35" s="17" t="s">
        <v>962</v>
      </c>
      <c r="E35" s="17" t="s">
        <v>950</v>
      </c>
      <c r="F35" s="20"/>
      <c r="G35" s="19">
        <f t="shared" si="0"/>
        <v>0</v>
      </c>
      <c r="H35" s="19"/>
    </row>
    <row r="36" spans="1:8" ht="24">
      <c r="A36" s="158" t="s">
        <v>486</v>
      </c>
      <c r="B36" s="17" t="s">
        <v>184</v>
      </c>
      <c r="C36" s="17" t="s">
        <v>1340</v>
      </c>
      <c r="D36" s="17" t="s">
        <v>962</v>
      </c>
      <c r="E36" s="17" t="s">
        <v>402</v>
      </c>
      <c r="F36" s="19">
        <f>F37</f>
        <v>350.1</v>
      </c>
      <c r="G36" s="19">
        <f t="shared" si="0"/>
        <v>350.1</v>
      </c>
      <c r="H36" s="19"/>
    </row>
    <row r="37" spans="1:8" ht="24">
      <c r="A37" s="158" t="s">
        <v>827</v>
      </c>
      <c r="B37" s="17" t="s">
        <v>184</v>
      </c>
      <c r="C37" s="17" t="s">
        <v>1340</v>
      </c>
      <c r="D37" s="17" t="s">
        <v>962</v>
      </c>
      <c r="E37" s="17" t="s">
        <v>1333</v>
      </c>
      <c r="F37" s="20">
        <v>350.1</v>
      </c>
      <c r="G37" s="19">
        <f t="shared" si="0"/>
        <v>350.1</v>
      </c>
      <c r="H37" s="19"/>
    </row>
    <row r="38" spans="1:8" ht="36" hidden="1">
      <c r="A38" s="158" t="s">
        <v>1076</v>
      </c>
      <c r="B38" s="17" t="s">
        <v>184</v>
      </c>
      <c r="C38" s="17" t="s">
        <v>1340</v>
      </c>
      <c r="D38" s="17" t="s">
        <v>962</v>
      </c>
      <c r="E38" s="17" t="s">
        <v>516</v>
      </c>
      <c r="F38" s="20">
        <v>100</v>
      </c>
      <c r="G38" s="19">
        <f t="shared" si="0"/>
        <v>100</v>
      </c>
      <c r="H38" s="19"/>
    </row>
    <row r="39" spans="1:8" ht="24" hidden="1">
      <c r="A39" s="158" t="s">
        <v>233</v>
      </c>
      <c r="B39" s="17" t="s">
        <v>184</v>
      </c>
      <c r="C39" s="17" t="s">
        <v>1340</v>
      </c>
      <c r="D39" s="17" t="s">
        <v>962</v>
      </c>
      <c r="E39" s="17" t="s">
        <v>234</v>
      </c>
      <c r="F39" s="20">
        <v>250</v>
      </c>
      <c r="G39" s="19">
        <f t="shared" si="0"/>
        <v>250</v>
      </c>
      <c r="H39" s="19"/>
    </row>
    <row r="40" spans="1:8" ht="24">
      <c r="A40" s="158" t="s">
        <v>1189</v>
      </c>
      <c r="B40" s="17" t="s">
        <v>184</v>
      </c>
      <c r="C40" s="17" t="s">
        <v>1340</v>
      </c>
      <c r="D40" s="17" t="s">
        <v>962</v>
      </c>
      <c r="E40" s="17" t="s">
        <v>1190</v>
      </c>
      <c r="F40" s="19">
        <f>F41</f>
        <v>100</v>
      </c>
      <c r="G40" s="19">
        <f t="shared" si="0"/>
        <v>100</v>
      </c>
      <c r="H40" s="19">
        <f>H41</f>
        <v>0</v>
      </c>
    </row>
    <row r="41" spans="1:8" ht="24">
      <c r="A41" s="158" t="s">
        <v>1059</v>
      </c>
      <c r="B41" s="17" t="s">
        <v>184</v>
      </c>
      <c r="C41" s="17" t="s">
        <v>1340</v>
      </c>
      <c r="D41" s="17" t="s">
        <v>962</v>
      </c>
      <c r="E41" s="17" t="s">
        <v>1060</v>
      </c>
      <c r="F41" s="20">
        <v>100</v>
      </c>
      <c r="G41" s="19">
        <f t="shared" si="0"/>
        <v>100</v>
      </c>
      <c r="H41" s="19">
        <f>H42</f>
        <v>0</v>
      </c>
    </row>
    <row r="42" spans="1:8" ht="24" hidden="1">
      <c r="A42" s="18" t="s">
        <v>513</v>
      </c>
      <c r="B42" s="17" t="s">
        <v>184</v>
      </c>
      <c r="C42" s="17" t="s">
        <v>1340</v>
      </c>
      <c r="D42" s="17" t="s">
        <v>962</v>
      </c>
      <c r="E42" s="17" t="s">
        <v>514</v>
      </c>
      <c r="F42" s="20">
        <v>100</v>
      </c>
      <c r="G42" s="19">
        <f t="shared" si="0"/>
        <v>100</v>
      </c>
      <c r="H42" s="19"/>
    </row>
    <row r="43" spans="1:8" ht="24">
      <c r="A43" s="159" t="s">
        <v>819</v>
      </c>
      <c r="B43" s="17" t="s">
        <v>184</v>
      </c>
      <c r="C43" s="17" t="s">
        <v>1340</v>
      </c>
      <c r="D43" s="17" t="s">
        <v>963</v>
      </c>
      <c r="E43" s="17"/>
      <c r="F43" s="19">
        <f>F44</f>
        <v>4.7</v>
      </c>
      <c r="G43" s="19">
        <f t="shared" si="0"/>
        <v>4.7</v>
      </c>
      <c r="H43" s="19">
        <f>H44</f>
        <v>0</v>
      </c>
    </row>
    <row r="44" spans="1:8" ht="24">
      <c r="A44" s="158" t="s">
        <v>1189</v>
      </c>
      <c r="B44" s="17" t="s">
        <v>184</v>
      </c>
      <c r="C44" s="17" t="s">
        <v>1340</v>
      </c>
      <c r="D44" s="17" t="s">
        <v>963</v>
      </c>
      <c r="E44" s="17" t="s">
        <v>1190</v>
      </c>
      <c r="F44" s="19">
        <f>F45</f>
        <v>4.7</v>
      </c>
      <c r="G44" s="19">
        <f t="shared" si="0"/>
        <v>4.7</v>
      </c>
      <c r="H44" s="19">
        <f>H45</f>
        <v>0</v>
      </c>
    </row>
    <row r="45" spans="1:8" ht="24">
      <c r="A45" s="158" t="s">
        <v>1059</v>
      </c>
      <c r="B45" s="17" t="s">
        <v>184</v>
      </c>
      <c r="C45" s="17" t="s">
        <v>1340</v>
      </c>
      <c r="D45" s="17" t="s">
        <v>963</v>
      </c>
      <c r="E45" s="17" t="s">
        <v>1060</v>
      </c>
      <c r="F45" s="20">
        <v>4.7</v>
      </c>
      <c r="G45" s="19">
        <f t="shared" si="0"/>
        <v>4.7</v>
      </c>
      <c r="H45" s="19">
        <f>H46</f>
        <v>0</v>
      </c>
    </row>
    <row r="46" spans="1:8" ht="24" hidden="1">
      <c r="A46" s="159" t="s">
        <v>819</v>
      </c>
      <c r="B46" s="17" t="s">
        <v>184</v>
      </c>
      <c r="C46" s="17" t="s">
        <v>1340</v>
      </c>
      <c r="D46" s="17" t="s">
        <v>963</v>
      </c>
      <c r="E46" s="17" t="s">
        <v>543</v>
      </c>
      <c r="F46" s="20">
        <v>4.7</v>
      </c>
      <c r="G46" s="19">
        <f t="shared" si="0"/>
        <v>4.7</v>
      </c>
      <c r="H46" s="22"/>
    </row>
    <row r="47" spans="1:8" ht="48">
      <c r="A47" s="31" t="s">
        <v>87</v>
      </c>
      <c r="B47" s="17" t="s">
        <v>184</v>
      </c>
      <c r="C47" s="17" t="s">
        <v>118</v>
      </c>
      <c r="D47" s="17"/>
      <c r="E47" s="17"/>
      <c r="F47" s="19">
        <f>F48</f>
        <v>252413.1</v>
      </c>
      <c r="G47" s="19">
        <f t="shared" si="0"/>
        <v>234313.1</v>
      </c>
      <c r="H47" s="19">
        <f>H48</f>
        <v>18100</v>
      </c>
    </row>
    <row r="48" spans="1:8" ht="24">
      <c r="A48" s="32" t="s">
        <v>328</v>
      </c>
      <c r="B48" s="17" t="s">
        <v>184</v>
      </c>
      <c r="C48" s="17" t="s">
        <v>118</v>
      </c>
      <c r="D48" s="17" t="s">
        <v>458</v>
      </c>
      <c r="E48" s="17"/>
      <c r="F48" s="19">
        <f>F49+F56</f>
        <v>252413.1</v>
      </c>
      <c r="G48" s="19">
        <f t="shared" si="0"/>
        <v>234313.1</v>
      </c>
      <c r="H48" s="19">
        <f>H49+H56</f>
        <v>18100</v>
      </c>
    </row>
    <row r="49" spans="1:8" ht="48">
      <c r="A49" s="36" t="s">
        <v>1226</v>
      </c>
      <c r="B49" s="17" t="s">
        <v>184</v>
      </c>
      <c r="C49" s="17" t="s">
        <v>118</v>
      </c>
      <c r="D49" s="17" t="s">
        <v>880</v>
      </c>
      <c r="E49" s="17"/>
      <c r="F49" s="19">
        <f>F50+F53</f>
        <v>11929.8</v>
      </c>
      <c r="G49" s="19">
        <f t="shared" si="0"/>
        <v>11507.4</v>
      </c>
      <c r="H49" s="19">
        <f>H50+H53</f>
        <v>422.4</v>
      </c>
    </row>
    <row r="50" spans="1:8" ht="24">
      <c r="A50" s="158" t="s">
        <v>486</v>
      </c>
      <c r="B50" s="17" t="s">
        <v>184</v>
      </c>
      <c r="C50" s="17" t="s">
        <v>118</v>
      </c>
      <c r="D50" s="17" t="s">
        <v>1324</v>
      </c>
      <c r="E50" s="17" t="s">
        <v>402</v>
      </c>
      <c r="F50" s="19">
        <f>F51</f>
        <v>11507.4</v>
      </c>
      <c r="G50" s="19">
        <f t="shared" si="0"/>
        <v>11507.4</v>
      </c>
      <c r="H50" s="19">
        <f>H51</f>
        <v>0</v>
      </c>
    </row>
    <row r="51" spans="1:8" ht="24">
      <c r="A51" s="158" t="s">
        <v>827</v>
      </c>
      <c r="B51" s="17" t="s">
        <v>184</v>
      </c>
      <c r="C51" s="17" t="s">
        <v>118</v>
      </c>
      <c r="D51" s="17" t="s">
        <v>1324</v>
      </c>
      <c r="E51" s="17" t="s">
        <v>1333</v>
      </c>
      <c r="F51" s="20">
        <f>11427.4+60+20</f>
        <v>11507.4</v>
      </c>
      <c r="G51" s="19">
        <f t="shared" si="0"/>
        <v>11507.4</v>
      </c>
      <c r="H51" s="19"/>
    </row>
    <row r="52" spans="1:8" ht="36" hidden="1">
      <c r="A52" s="158" t="s">
        <v>1076</v>
      </c>
      <c r="B52" s="17" t="s">
        <v>184</v>
      </c>
      <c r="C52" s="17" t="s">
        <v>118</v>
      </c>
      <c r="D52" s="17" t="s">
        <v>1324</v>
      </c>
      <c r="E52" s="17" t="s">
        <v>516</v>
      </c>
      <c r="F52" s="20">
        <v>11427.4</v>
      </c>
      <c r="G52" s="19">
        <f t="shared" si="0"/>
        <v>11427.4</v>
      </c>
      <c r="H52" s="19"/>
    </row>
    <row r="53" spans="1:8" ht="24">
      <c r="A53" s="158" t="s">
        <v>486</v>
      </c>
      <c r="B53" s="17" t="s">
        <v>184</v>
      </c>
      <c r="C53" s="17" t="s">
        <v>118</v>
      </c>
      <c r="D53" s="17" t="s">
        <v>1206</v>
      </c>
      <c r="E53" s="17" t="s">
        <v>402</v>
      </c>
      <c r="F53" s="19">
        <f>F54</f>
        <v>422.4</v>
      </c>
      <c r="G53" s="19">
        <f t="shared" si="0"/>
        <v>0</v>
      </c>
      <c r="H53" s="19">
        <f>H54</f>
        <v>422.4</v>
      </c>
    </row>
    <row r="54" spans="1:8" ht="24">
      <c r="A54" s="158" t="s">
        <v>827</v>
      </c>
      <c r="B54" s="17" t="s">
        <v>184</v>
      </c>
      <c r="C54" s="17" t="s">
        <v>118</v>
      </c>
      <c r="D54" s="17" t="s">
        <v>1206</v>
      </c>
      <c r="E54" s="17" t="s">
        <v>1333</v>
      </c>
      <c r="F54" s="20">
        <v>422.4</v>
      </c>
      <c r="G54" s="19"/>
      <c r="H54" s="19">
        <v>422.4</v>
      </c>
    </row>
    <row r="55" spans="1:8" ht="36" hidden="1">
      <c r="A55" s="158" t="s">
        <v>1076</v>
      </c>
      <c r="B55" s="17" t="s">
        <v>184</v>
      </c>
      <c r="C55" s="17" t="s">
        <v>118</v>
      </c>
      <c r="D55" s="17" t="s">
        <v>1206</v>
      </c>
      <c r="E55" s="17" t="s">
        <v>516</v>
      </c>
      <c r="F55" s="20">
        <v>422.4</v>
      </c>
      <c r="G55" s="19"/>
      <c r="H55" s="19">
        <v>422.4</v>
      </c>
    </row>
    <row r="56" spans="1:8" ht="36">
      <c r="A56" s="36" t="s">
        <v>828</v>
      </c>
      <c r="B56" s="17" t="s">
        <v>184</v>
      </c>
      <c r="C56" s="17" t="s">
        <v>118</v>
      </c>
      <c r="D56" s="17" t="s">
        <v>527</v>
      </c>
      <c r="E56" s="17"/>
      <c r="F56" s="19">
        <f>F57+F78+F71+F85</f>
        <v>240483.30000000002</v>
      </c>
      <c r="G56" s="19">
        <f aca="true" t="shared" si="1" ref="G56:G70">F56-H56</f>
        <v>222805.7</v>
      </c>
      <c r="H56" s="19">
        <f>H57+H78+H71+H85</f>
        <v>17677.6</v>
      </c>
    </row>
    <row r="57" spans="1:8" ht="24">
      <c r="A57" s="18" t="s">
        <v>633</v>
      </c>
      <c r="B57" s="17" t="s">
        <v>184</v>
      </c>
      <c r="C57" s="17" t="s">
        <v>118</v>
      </c>
      <c r="D57" s="17" t="s">
        <v>1023</v>
      </c>
      <c r="E57" s="17" t="s">
        <v>1204</v>
      </c>
      <c r="F57" s="19">
        <f>F58+F62+F64+F67</f>
        <v>222805.7</v>
      </c>
      <c r="G57" s="19">
        <f t="shared" si="1"/>
        <v>222805.7</v>
      </c>
      <c r="H57" s="19">
        <f>H59+H63+H67</f>
        <v>0</v>
      </c>
    </row>
    <row r="58" spans="1:8" ht="72">
      <c r="A58" s="158" t="s">
        <v>485</v>
      </c>
      <c r="B58" s="17" t="s">
        <v>184</v>
      </c>
      <c r="C58" s="17" t="s">
        <v>118</v>
      </c>
      <c r="D58" s="17" t="s">
        <v>1023</v>
      </c>
      <c r="E58" s="17" t="s">
        <v>21</v>
      </c>
      <c r="F58" s="19">
        <f>F59</f>
        <v>195720.30000000002</v>
      </c>
      <c r="G58" s="19">
        <f t="shared" si="1"/>
        <v>195720.30000000002</v>
      </c>
      <c r="H58" s="19"/>
    </row>
    <row r="59" spans="1:8" ht="24">
      <c r="A59" s="158" t="s">
        <v>34</v>
      </c>
      <c r="B59" s="17" t="s">
        <v>184</v>
      </c>
      <c r="C59" s="17" t="s">
        <v>118</v>
      </c>
      <c r="D59" s="17" t="s">
        <v>1024</v>
      </c>
      <c r="E59" s="17" t="s">
        <v>416</v>
      </c>
      <c r="F59" s="20">
        <f>192844.6+2875.6+0.1</f>
        <v>195720.30000000002</v>
      </c>
      <c r="G59" s="19">
        <f t="shared" si="1"/>
        <v>195720.30000000002</v>
      </c>
      <c r="H59" s="19">
        <f>H60+H61</f>
        <v>0</v>
      </c>
    </row>
    <row r="60" spans="1:8" ht="15" hidden="1">
      <c r="A60" s="158" t="s">
        <v>812</v>
      </c>
      <c r="B60" s="17" t="s">
        <v>184</v>
      </c>
      <c r="C60" s="17" t="s">
        <v>118</v>
      </c>
      <c r="D60" s="17" t="s">
        <v>1024</v>
      </c>
      <c r="E60" s="17" t="s">
        <v>813</v>
      </c>
      <c r="F60" s="20">
        <v>192791.6</v>
      </c>
      <c r="G60" s="19">
        <f t="shared" si="1"/>
        <v>192791.6</v>
      </c>
      <c r="H60" s="19"/>
    </row>
    <row r="61" spans="1:8" ht="24" hidden="1">
      <c r="A61" s="18" t="s">
        <v>442</v>
      </c>
      <c r="B61" s="17" t="s">
        <v>184</v>
      </c>
      <c r="C61" s="17" t="s">
        <v>118</v>
      </c>
      <c r="D61" s="17" t="s">
        <v>1024</v>
      </c>
      <c r="E61" s="17" t="s">
        <v>950</v>
      </c>
      <c r="F61" s="20">
        <v>53</v>
      </c>
      <c r="G61" s="19">
        <f t="shared" si="1"/>
        <v>53</v>
      </c>
      <c r="H61" s="19"/>
    </row>
    <row r="62" spans="1:8" ht="24">
      <c r="A62" s="158" t="s">
        <v>486</v>
      </c>
      <c r="B62" s="17" t="s">
        <v>184</v>
      </c>
      <c r="C62" s="17" t="s">
        <v>118</v>
      </c>
      <c r="D62" s="17" t="s">
        <v>1024</v>
      </c>
      <c r="E62" s="17" t="s">
        <v>402</v>
      </c>
      <c r="F62" s="19">
        <f>F63</f>
        <v>21889.1</v>
      </c>
      <c r="G62" s="19">
        <f t="shared" si="1"/>
        <v>21889.1</v>
      </c>
      <c r="H62" s="19"/>
    </row>
    <row r="63" spans="1:8" ht="24">
      <c r="A63" s="158" t="s">
        <v>827</v>
      </c>
      <c r="B63" s="17" t="s">
        <v>184</v>
      </c>
      <c r="C63" s="17" t="s">
        <v>118</v>
      </c>
      <c r="D63" s="17" t="s">
        <v>1024</v>
      </c>
      <c r="E63" s="17" t="s">
        <v>1333</v>
      </c>
      <c r="F63" s="20">
        <f>22314-805+2200-960-520-200-100-39.9</f>
        <v>21889.1</v>
      </c>
      <c r="G63" s="19">
        <f t="shared" si="1"/>
        <v>21889.1</v>
      </c>
      <c r="H63" s="19"/>
    </row>
    <row r="64" spans="1:8" ht="24">
      <c r="A64" s="158" t="s">
        <v>1189</v>
      </c>
      <c r="B64" s="17" t="s">
        <v>184</v>
      </c>
      <c r="C64" s="17" t="s">
        <v>118</v>
      </c>
      <c r="D64" s="17" t="s">
        <v>1024</v>
      </c>
      <c r="E64" s="17" t="s">
        <v>1190</v>
      </c>
      <c r="F64" s="19">
        <f>F65</f>
        <v>10</v>
      </c>
      <c r="G64" s="19">
        <f t="shared" si="1"/>
        <v>10</v>
      </c>
      <c r="H64" s="19"/>
    </row>
    <row r="65" spans="1:8" ht="24">
      <c r="A65" s="158" t="s">
        <v>1059</v>
      </c>
      <c r="B65" s="17" t="s">
        <v>184</v>
      </c>
      <c r="C65" s="17" t="s">
        <v>118</v>
      </c>
      <c r="D65" s="17" t="s">
        <v>1024</v>
      </c>
      <c r="E65" s="17" t="s">
        <v>1060</v>
      </c>
      <c r="F65" s="20">
        <v>10</v>
      </c>
      <c r="G65" s="19">
        <f t="shared" si="1"/>
        <v>10</v>
      </c>
      <c r="H65" s="19"/>
    </row>
    <row r="66" spans="1:8" ht="72" customHeight="1" hidden="1">
      <c r="A66" s="158" t="s">
        <v>1455</v>
      </c>
      <c r="B66" s="17" t="s">
        <v>184</v>
      </c>
      <c r="C66" s="17" t="s">
        <v>118</v>
      </c>
      <c r="D66" s="17" t="s">
        <v>1024</v>
      </c>
      <c r="E66" s="17" t="s">
        <v>1188</v>
      </c>
      <c r="F66" s="20"/>
      <c r="G66" s="19">
        <f t="shared" si="1"/>
        <v>0</v>
      </c>
      <c r="H66" s="19"/>
    </row>
    <row r="67" spans="1:8" ht="16.5" customHeight="1">
      <c r="A67" s="158" t="s">
        <v>1189</v>
      </c>
      <c r="B67" s="17" t="s">
        <v>184</v>
      </c>
      <c r="C67" s="17" t="s">
        <v>118</v>
      </c>
      <c r="D67" s="17" t="s">
        <v>1027</v>
      </c>
      <c r="E67" s="17" t="s">
        <v>1190</v>
      </c>
      <c r="F67" s="19">
        <f>F68</f>
        <v>5186.299999999999</v>
      </c>
      <c r="G67" s="19">
        <f t="shared" si="1"/>
        <v>5186.299999999999</v>
      </c>
      <c r="H67" s="19">
        <f>H68</f>
        <v>0</v>
      </c>
    </row>
    <row r="68" spans="1:8" ht="16.5" customHeight="1">
      <c r="A68" s="158" t="s">
        <v>1059</v>
      </c>
      <c r="B68" s="17" t="s">
        <v>184</v>
      </c>
      <c r="C68" s="17" t="s">
        <v>118</v>
      </c>
      <c r="D68" s="17" t="s">
        <v>1027</v>
      </c>
      <c r="E68" s="17" t="s">
        <v>1060</v>
      </c>
      <c r="F68" s="20">
        <f>5146.5-0.1+39.9</f>
        <v>5186.299999999999</v>
      </c>
      <c r="G68" s="19">
        <f t="shared" si="1"/>
        <v>5186.299999999999</v>
      </c>
      <c r="H68" s="19">
        <f>H69+H70</f>
        <v>0</v>
      </c>
    </row>
    <row r="69" spans="1:8" ht="24" hidden="1">
      <c r="A69" s="18" t="s">
        <v>513</v>
      </c>
      <c r="B69" s="17" t="s">
        <v>184</v>
      </c>
      <c r="C69" s="17" t="s">
        <v>118</v>
      </c>
      <c r="D69" s="17" t="s">
        <v>1024</v>
      </c>
      <c r="E69" s="17" t="s">
        <v>514</v>
      </c>
      <c r="F69" s="20"/>
      <c r="G69" s="19">
        <f t="shared" si="1"/>
        <v>0</v>
      </c>
      <c r="H69" s="19"/>
    </row>
    <row r="70" spans="1:8" ht="24" hidden="1">
      <c r="A70" s="18" t="s">
        <v>819</v>
      </c>
      <c r="B70" s="17" t="s">
        <v>184</v>
      </c>
      <c r="C70" s="17" t="s">
        <v>118</v>
      </c>
      <c r="D70" s="17" t="s">
        <v>1027</v>
      </c>
      <c r="E70" s="17" t="s">
        <v>543</v>
      </c>
      <c r="F70" s="20"/>
      <c r="G70" s="19">
        <f t="shared" si="1"/>
        <v>0</v>
      </c>
      <c r="H70" s="19"/>
    </row>
    <row r="71" spans="1:8" ht="96">
      <c r="A71" s="18" t="s">
        <v>826</v>
      </c>
      <c r="B71" s="17" t="s">
        <v>184</v>
      </c>
      <c r="C71" s="17" t="s">
        <v>118</v>
      </c>
      <c r="D71" s="17" t="s">
        <v>1028</v>
      </c>
      <c r="E71" s="17" t="s">
        <v>1204</v>
      </c>
      <c r="F71" s="19">
        <f>F72+F75</f>
        <v>8410.599999999999</v>
      </c>
      <c r="G71" s="19"/>
      <c r="H71" s="19">
        <f>H73+H76</f>
        <v>8410.599999999999</v>
      </c>
    </row>
    <row r="72" spans="1:8" ht="72">
      <c r="A72" s="158" t="s">
        <v>485</v>
      </c>
      <c r="B72" s="17" t="s">
        <v>184</v>
      </c>
      <c r="C72" s="17" t="s">
        <v>118</v>
      </c>
      <c r="D72" s="17" t="s">
        <v>1028</v>
      </c>
      <c r="E72" s="17" t="s">
        <v>21</v>
      </c>
      <c r="F72" s="19">
        <f>F73</f>
        <v>5719.099999999999</v>
      </c>
      <c r="G72" s="19"/>
      <c r="H72" s="19">
        <f>H73</f>
        <v>5719.099999999999</v>
      </c>
    </row>
    <row r="73" spans="1:8" ht="24">
      <c r="A73" s="158" t="s">
        <v>34</v>
      </c>
      <c r="B73" s="17" t="s">
        <v>184</v>
      </c>
      <c r="C73" s="17" t="s">
        <v>118</v>
      </c>
      <c r="D73" s="17" t="s">
        <v>1028</v>
      </c>
      <c r="E73" s="17" t="s">
        <v>416</v>
      </c>
      <c r="F73" s="20">
        <f>5692.4+26.7</f>
        <v>5719.099999999999</v>
      </c>
      <c r="G73" s="19"/>
      <c r="H73" s="19">
        <f>F73</f>
        <v>5719.099999999999</v>
      </c>
    </row>
    <row r="74" spans="1:8" ht="15" hidden="1">
      <c r="A74" s="158" t="s">
        <v>812</v>
      </c>
      <c r="B74" s="17" t="s">
        <v>184</v>
      </c>
      <c r="C74" s="17" t="s">
        <v>118</v>
      </c>
      <c r="D74" s="17" t="s">
        <v>1028</v>
      </c>
      <c r="E74" s="17" t="s">
        <v>813</v>
      </c>
      <c r="F74" s="20">
        <f>4372+1320.4</f>
        <v>5692.4</v>
      </c>
      <c r="G74" s="19">
        <f>F74-H74</f>
        <v>0</v>
      </c>
      <c r="H74" s="19">
        <f>4372+1320.4</f>
        <v>5692.4</v>
      </c>
    </row>
    <row r="75" spans="1:8" ht="24">
      <c r="A75" s="158" t="s">
        <v>486</v>
      </c>
      <c r="B75" s="17" t="s">
        <v>184</v>
      </c>
      <c r="C75" s="17" t="s">
        <v>118</v>
      </c>
      <c r="D75" s="17" t="s">
        <v>1028</v>
      </c>
      <c r="E75" s="17" t="s">
        <v>402</v>
      </c>
      <c r="F75" s="19">
        <f>F76</f>
        <v>2691.5</v>
      </c>
      <c r="G75" s="19">
        <f>F75-H75</f>
        <v>0</v>
      </c>
      <c r="H75" s="19">
        <f>H76</f>
        <v>2691.5</v>
      </c>
    </row>
    <row r="76" spans="1:8" ht="24">
      <c r="A76" s="158" t="s">
        <v>827</v>
      </c>
      <c r="B76" s="17" t="s">
        <v>184</v>
      </c>
      <c r="C76" s="17" t="s">
        <v>118</v>
      </c>
      <c r="D76" s="17" t="s">
        <v>1028</v>
      </c>
      <c r="E76" s="17" t="s">
        <v>1333</v>
      </c>
      <c r="F76" s="20">
        <f>2718.2-26.7</f>
        <v>2691.5</v>
      </c>
      <c r="G76" s="19"/>
      <c r="H76" s="19">
        <f>F76</f>
        <v>2691.5</v>
      </c>
    </row>
    <row r="77" spans="1:8" ht="24" hidden="1">
      <c r="A77" s="158" t="s">
        <v>233</v>
      </c>
      <c r="B77" s="17" t="s">
        <v>184</v>
      </c>
      <c r="C77" s="17" t="s">
        <v>118</v>
      </c>
      <c r="D77" s="17" t="s">
        <v>1028</v>
      </c>
      <c r="E77" s="17" t="s">
        <v>234</v>
      </c>
      <c r="F77" s="20">
        <v>2718.2</v>
      </c>
      <c r="G77" s="19">
        <f aca="true" t="shared" si="2" ref="G77:G84">F77-H77</f>
        <v>0</v>
      </c>
      <c r="H77" s="19">
        <v>2718.2</v>
      </c>
    </row>
    <row r="78" spans="1:8" ht="60">
      <c r="A78" s="158" t="s">
        <v>1373</v>
      </c>
      <c r="B78" s="17" t="s">
        <v>184</v>
      </c>
      <c r="C78" s="17" t="s">
        <v>118</v>
      </c>
      <c r="D78" s="17" t="s">
        <v>1029</v>
      </c>
      <c r="E78" s="17" t="s">
        <v>1204</v>
      </c>
      <c r="F78" s="19">
        <f>F80+F83</f>
        <v>4431</v>
      </c>
      <c r="G78" s="19">
        <f t="shared" si="2"/>
        <v>0</v>
      </c>
      <c r="H78" s="19">
        <f>H80+H83</f>
        <v>4431</v>
      </c>
    </row>
    <row r="79" spans="1:8" ht="72">
      <c r="A79" s="158" t="s">
        <v>485</v>
      </c>
      <c r="B79" s="17" t="s">
        <v>184</v>
      </c>
      <c r="C79" s="17" t="s">
        <v>118</v>
      </c>
      <c r="D79" s="17" t="s">
        <v>1029</v>
      </c>
      <c r="E79" s="17" t="s">
        <v>21</v>
      </c>
      <c r="F79" s="19">
        <f>F80</f>
        <v>3942.8</v>
      </c>
      <c r="G79" s="19">
        <f t="shared" si="2"/>
        <v>0</v>
      </c>
      <c r="H79" s="19">
        <f>H80</f>
        <v>3942.8</v>
      </c>
    </row>
    <row r="80" spans="1:8" ht="24">
      <c r="A80" s="158" t="s">
        <v>34</v>
      </c>
      <c r="B80" s="17" t="s">
        <v>184</v>
      </c>
      <c r="C80" s="17" t="s">
        <v>118</v>
      </c>
      <c r="D80" s="17" t="s">
        <v>1029</v>
      </c>
      <c r="E80" s="17" t="s">
        <v>416</v>
      </c>
      <c r="F80" s="20">
        <v>3942.8</v>
      </c>
      <c r="G80" s="19">
        <f t="shared" si="2"/>
        <v>0</v>
      </c>
      <c r="H80" s="19">
        <f>H81</f>
        <v>3942.8</v>
      </c>
    </row>
    <row r="81" spans="1:8" ht="15" hidden="1">
      <c r="A81" s="158" t="s">
        <v>812</v>
      </c>
      <c r="B81" s="17" t="s">
        <v>184</v>
      </c>
      <c r="C81" s="17" t="s">
        <v>118</v>
      </c>
      <c r="D81" s="17" t="s">
        <v>1029</v>
      </c>
      <c r="E81" s="17" t="s">
        <v>813</v>
      </c>
      <c r="F81" s="20">
        <v>3942.8</v>
      </c>
      <c r="G81" s="19">
        <f t="shared" si="2"/>
        <v>0</v>
      </c>
      <c r="H81" s="19">
        <v>3942.8</v>
      </c>
    </row>
    <row r="82" spans="1:8" ht="24">
      <c r="A82" s="158" t="s">
        <v>486</v>
      </c>
      <c r="B82" s="17" t="s">
        <v>184</v>
      </c>
      <c r="C82" s="17" t="s">
        <v>118</v>
      </c>
      <c r="D82" s="17" t="s">
        <v>1029</v>
      </c>
      <c r="E82" s="17" t="s">
        <v>402</v>
      </c>
      <c r="F82" s="19">
        <f>F83</f>
        <v>488.2</v>
      </c>
      <c r="G82" s="19">
        <f t="shared" si="2"/>
        <v>0</v>
      </c>
      <c r="H82" s="19">
        <f>H83</f>
        <v>488.2</v>
      </c>
    </row>
    <row r="83" spans="1:8" ht="24">
      <c r="A83" s="158" t="s">
        <v>827</v>
      </c>
      <c r="B83" s="17" t="s">
        <v>184</v>
      </c>
      <c r="C83" s="17" t="s">
        <v>118</v>
      </c>
      <c r="D83" s="17" t="s">
        <v>1029</v>
      </c>
      <c r="E83" s="17" t="s">
        <v>1333</v>
      </c>
      <c r="F83" s="20">
        <v>488.2</v>
      </c>
      <c r="G83" s="19">
        <f t="shared" si="2"/>
        <v>0</v>
      </c>
      <c r="H83" s="19">
        <f>H84</f>
        <v>488.2</v>
      </c>
    </row>
    <row r="84" spans="1:8" ht="24" hidden="1">
      <c r="A84" s="158" t="s">
        <v>233</v>
      </c>
      <c r="B84" s="17" t="s">
        <v>184</v>
      </c>
      <c r="C84" s="17" t="s">
        <v>118</v>
      </c>
      <c r="D84" s="17" t="s">
        <v>1029</v>
      </c>
      <c r="E84" s="17" t="s">
        <v>234</v>
      </c>
      <c r="F84" s="20">
        <v>488.2</v>
      </c>
      <c r="G84" s="19">
        <f t="shared" si="2"/>
        <v>0</v>
      </c>
      <c r="H84" s="19">
        <v>488.2</v>
      </c>
    </row>
    <row r="85" spans="1:8" ht="72">
      <c r="A85" s="158" t="s">
        <v>1150</v>
      </c>
      <c r="B85" s="17" t="s">
        <v>184</v>
      </c>
      <c r="C85" s="17" t="s">
        <v>118</v>
      </c>
      <c r="D85" s="17" t="s">
        <v>1030</v>
      </c>
      <c r="E85" s="17" t="s">
        <v>1204</v>
      </c>
      <c r="F85" s="19">
        <f>F87+F90</f>
        <v>4836</v>
      </c>
      <c r="G85" s="19"/>
      <c r="H85" s="19">
        <f>H87+H90</f>
        <v>4836</v>
      </c>
    </row>
    <row r="86" spans="1:8" ht="72">
      <c r="A86" s="158" t="s">
        <v>485</v>
      </c>
      <c r="B86" s="17" t="s">
        <v>184</v>
      </c>
      <c r="C86" s="17" t="s">
        <v>118</v>
      </c>
      <c r="D86" s="17" t="s">
        <v>1030</v>
      </c>
      <c r="E86" s="17" t="s">
        <v>21</v>
      </c>
      <c r="F86" s="19">
        <f>F87</f>
        <v>3951.6</v>
      </c>
      <c r="G86" s="19"/>
      <c r="H86" s="19">
        <f>H87</f>
        <v>3951.6</v>
      </c>
    </row>
    <row r="87" spans="1:8" ht="24">
      <c r="A87" s="158" t="s">
        <v>34</v>
      </c>
      <c r="B87" s="17" t="s">
        <v>184</v>
      </c>
      <c r="C87" s="17" t="s">
        <v>118</v>
      </c>
      <c r="D87" s="17" t="s">
        <v>1030</v>
      </c>
      <c r="E87" s="17" t="s">
        <v>416</v>
      </c>
      <c r="F87" s="20">
        <f>3823.4+119.5+36.1-27.4</f>
        <v>3951.6</v>
      </c>
      <c r="G87" s="19"/>
      <c r="H87" s="19">
        <f>F87</f>
        <v>3951.6</v>
      </c>
    </row>
    <row r="88" spans="1:8" ht="15" hidden="1">
      <c r="A88" s="158" t="s">
        <v>812</v>
      </c>
      <c r="B88" s="17" t="s">
        <v>184</v>
      </c>
      <c r="C88" s="17" t="s">
        <v>118</v>
      </c>
      <c r="D88" s="17" t="s">
        <v>1030</v>
      </c>
      <c r="E88" s="17" t="s">
        <v>813</v>
      </c>
      <c r="F88" s="20">
        <v>3823.4</v>
      </c>
      <c r="G88" s="19">
        <f>F88-H88</f>
        <v>0</v>
      </c>
      <c r="H88" s="19">
        <v>3823.4</v>
      </c>
    </row>
    <row r="89" spans="1:8" ht="24">
      <c r="A89" s="158" t="s">
        <v>486</v>
      </c>
      <c r="B89" s="17" t="s">
        <v>184</v>
      </c>
      <c r="C89" s="17" t="s">
        <v>118</v>
      </c>
      <c r="D89" s="17" t="s">
        <v>1030</v>
      </c>
      <c r="E89" s="17" t="s">
        <v>402</v>
      </c>
      <c r="F89" s="19">
        <f>F90</f>
        <v>884.4</v>
      </c>
      <c r="G89" s="19"/>
      <c r="H89" s="19">
        <f>H90</f>
        <v>884.4</v>
      </c>
    </row>
    <row r="90" spans="1:8" ht="24">
      <c r="A90" s="158" t="s">
        <v>471</v>
      </c>
      <c r="B90" s="17" t="s">
        <v>184</v>
      </c>
      <c r="C90" s="17" t="s">
        <v>118</v>
      </c>
      <c r="D90" s="17" t="s">
        <v>1030</v>
      </c>
      <c r="E90" s="17" t="s">
        <v>1333</v>
      </c>
      <c r="F90" s="20">
        <f>1012.6-155.6+27.4</f>
        <v>884.4</v>
      </c>
      <c r="G90" s="19"/>
      <c r="H90" s="19">
        <f>F90</f>
        <v>884.4</v>
      </c>
    </row>
    <row r="91" spans="1:8" ht="24" hidden="1">
      <c r="A91" s="158" t="s">
        <v>233</v>
      </c>
      <c r="B91" s="17" t="s">
        <v>184</v>
      </c>
      <c r="C91" s="17" t="s">
        <v>118</v>
      </c>
      <c r="D91" s="17" t="s">
        <v>1030</v>
      </c>
      <c r="E91" s="17" t="s">
        <v>234</v>
      </c>
      <c r="F91" s="20">
        <v>1012.6</v>
      </c>
      <c r="G91" s="19">
        <f>F91-H91</f>
        <v>0</v>
      </c>
      <c r="H91" s="19">
        <v>1012.6</v>
      </c>
    </row>
    <row r="92" spans="1:8" ht="24" hidden="1">
      <c r="A92" s="159" t="s">
        <v>819</v>
      </c>
      <c r="B92" s="17" t="s">
        <v>184</v>
      </c>
      <c r="C92" s="17" t="s">
        <v>118</v>
      </c>
      <c r="D92" s="17" t="s">
        <v>820</v>
      </c>
      <c r="E92" s="17" t="s">
        <v>1204</v>
      </c>
      <c r="F92" s="19">
        <f>F93</f>
        <v>0</v>
      </c>
      <c r="G92" s="19">
        <f>F92-H92</f>
        <v>0</v>
      </c>
      <c r="H92" s="19"/>
    </row>
    <row r="93" spans="1:8" ht="24" hidden="1">
      <c r="A93" s="159" t="s">
        <v>819</v>
      </c>
      <c r="B93" s="17" t="s">
        <v>184</v>
      </c>
      <c r="C93" s="17" t="s">
        <v>118</v>
      </c>
      <c r="D93" s="17" t="s">
        <v>820</v>
      </c>
      <c r="E93" s="17" t="s">
        <v>543</v>
      </c>
      <c r="F93" s="20"/>
      <c r="G93" s="19">
        <f>F93-H93</f>
        <v>0</v>
      </c>
      <c r="H93" s="19"/>
    </row>
    <row r="94" spans="1:8" ht="15" hidden="1">
      <c r="A94" s="31" t="s">
        <v>186</v>
      </c>
      <c r="B94" s="17" t="s">
        <v>184</v>
      </c>
      <c r="C94" s="17" t="s">
        <v>1336</v>
      </c>
      <c r="D94" s="17"/>
      <c r="E94" s="17"/>
      <c r="F94" s="19">
        <f aca="true" t="shared" si="3" ref="F94:H95">F95</f>
        <v>0</v>
      </c>
      <c r="G94" s="19">
        <f t="shared" si="3"/>
        <v>0</v>
      </c>
      <c r="H94" s="19">
        <f t="shared" si="3"/>
        <v>0</v>
      </c>
    </row>
    <row r="95" spans="1:8" ht="48" hidden="1">
      <c r="A95" s="36" t="s">
        <v>1343</v>
      </c>
      <c r="B95" s="17" t="s">
        <v>184</v>
      </c>
      <c r="C95" s="17" t="s">
        <v>1336</v>
      </c>
      <c r="D95" s="17" t="s">
        <v>351</v>
      </c>
      <c r="E95" s="17" t="s">
        <v>1204</v>
      </c>
      <c r="F95" s="19">
        <f>F96+F97</f>
        <v>0</v>
      </c>
      <c r="G95" s="19">
        <f>G96+G97</f>
        <v>0</v>
      </c>
      <c r="H95" s="19">
        <f t="shared" si="3"/>
        <v>0</v>
      </c>
    </row>
    <row r="96" spans="1:8" ht="24" hidden="1">
      <c r="A96" s="18" t="s">
        <v>464</v>
      </c>
      <c r="B96" s="17" t="s">
        <v>184</v>
      </c>
      <c r="C96" s="17" t="s">
        <v>1336</v>
      </c>
      <c r="D96" s="17" t="s">
        <v>351</v>
      </c>
      <c r="E96" s="17" t="s">
        <v>416</v>
      </c>
      <c r="F96" s="20"/>
      <c r="G96" s="19">
        <f>F96-H96</f>
        <v>0</v>
      </c>
      <c r="H96" s="19"/>
    </row>
    <row r="97" spans="1:8" ht="24" hidden="1">
      <c r="A97" s="18" t="s">
        <v>307</v>
      </c>
      <c r="B97" s="17" t="s">
        <v>184</v>
      </c>
      <c r="C97" s="17" t="s">
        <v>1336</v>
      </c>
      <c r="D97" s="17" t="s">
        <v>351</v>
      </c>
      <c r="E97" s="17" t="s">
        <v>1333</v>
      </c>
      <c r="F97" s="20"/>
      <c r="G97" s="19">
        <f>F97-H97</f>
        <v>0</v>
      </c>
      <c r="H97" s="19"/>
    </row>
    <row r="98" spans="1:8" ht="48">
      <c r="A98" s="31" t="s">
        <v>1041</v>
      </c>
      <c r="B98" s="17" t="s">
        <v>184</v>
      </c>
      <c r="C98" s="17" t="s">
        <v>1335</v>
      </c>
      <c r="D98" s="17"/>
      <c r="E98" s="17"/>
      <c r="F98" s="19">
        <f>F99</f>
        <v>25543.8</v>
      </c>
      <c r="G98" s="19">
        <f>F98-H98</f>
        <v>25543.8</v>
      </c>
      <c r="H98" s="19">
        <f>H99</f>
        <v>0</v>
      </c>
    </row>
    <row r="99" spans="1:8" ht="24">
      <c r="A99" s="33" t="s">
        <v>328</v>
      </c>
      <c r="B99" s="17" t="s">
        <v>184</v>
      </c>
      <c r="C99" s="17" t="s">
        <v>1335</v>
      </c>
      <c r="D99" s="17" t="s">
        <v>458</v>
      </c>
      <c r="E99" s="17"/>
      <c r="F99" s="19">
        <f>F100+F115</f>
        <v>25543.8</v>
      </c>
      <c r="G99" s="19">
        <f>F99-H99</f>
        <v>25543.8</v>
      </c>
      <c r="H99" s="19">
        <f>SUM(H103:H110)</f>
        <v>0</v>
      </c>
    </row>
    <row r="100" spans="1:8" ht="48">
      <c r="A100" s="18" t="s">
        <v>457</v>
      </c>
      <c r="B100" s="17" t="s">
        <v>184</v>
      </c>
      <c r="C100" s="17" t="s">
        <v>1335</v>
      </c>
      <c r="D100" s="17" t="s">
        <v>1325</v>
      </c>
      <c r="E100" s="17"/>
      <c r="F100" s="19">
        <f>F101+F105+F111</f>
        <v>20555.5</v>
      </c>
      <c r="G100" s="19">
        <f aca="true" t="shared" si="4" ref="G100:G128">F100-H100</f>
        <v>20555.5</v>
      </c>
      <c r="H100" s="19"/>
    </row>
    <row r="101" spans="1:8" ht="72">
      <c r="A101" s="158" t="s">
        <v>485</v>
      </c>
      <c r="B101" s="17" t="s">
        <v>184</v>
      </c>
      <c r="C101" s="17" t="s">
        <v>1335</v>
      </c>
      <c r="D101" s="17" t="s">
        <v>988</v>
      </c>
      <c r="E101" s="17" t="s">
        <v>21</v>
      </c>
      <c r="F101" s="19">
        <f>F102</f>
        <v>19839.6</v>
      </c>
      <c r="G101" s="19">
        <f t="shared" si="4"/>
        <v>19839.6</v>
      </c>
      <c r="H101" s="19">
        <f>H102</f>
        <v>0</v>
      </c>
    </row>
    <row r="102" spans="1:8" ht="24">
      <c r="A102" s="158" t="s">
        <v>34</v>
      </c>
      <c r="B102" s="17" t="s">
        <v>184</v>
      </c>
      <c r="C102" s="17" t="s">
        <v>1335</v>
      </c>
      <c r="D102" s="17" t="s">
        <v>988</v>
      </c>
      <c r="E102" s="17" t="s">
        <v>416</v>
      </c>
      <c r="F102" s="20">
        <v>19839.6</v>
      </c>
      <c r="G102" s="19">
        <f t="shared" si="4"/>
        <v>19839.6</v>
      </c>
      <c r="H102" s="19"/>
    </row>
    <row r="103" spans="1:8" ht="15" hidden="1">
      <c r="A103" s="18" t="s">
        <v>812</v>
      </c>
      <c r="B103" s="17" t="s">
        <v>184</v>
      </c>
      <c r="C103" s="17" t="s">
        <v>1335</v>
      </c>
      <c r="D103" s="17" t="s">
        <v>1025</v>
      </c>
      <c r="E103" s="17" t="s">
        <v>813</v>
      </c>
      <c r="F103" s="20">
        <v>19836.6</v>
      </c>
      <c r="G103" s="19">
        <f t="shared" si="4"/>
        <v>19836.6</v>
      </c>
      <c r="H103" s="19"/>
    </row>
    <row r="104" spans="1:8" ht="24" hidden="1">
      <c r="A104" s="18" t="s">
        <v>949</v>
      </c>
      <c r="B104" s="17" t="s">
        <v>184</v>
      </c>
      <c r="C104" s="17" t="s">
        <v>1335</v>
      </c>
      <c r="D104" s="17" t="s">
        <v>1025</v>
      </c>
      <c r="E104" s="17" t="s">
        <v>950</v>
      </c>
      <c r="F104" s="20">
        <v>3</v>
      </c>
      <c r="G104" s="19">
        <f t="shared" si="4"/>
        <v>3</v>
      </c>
      <c r="H104" s="19"/>
    </row>
    <row r="105" spans="1:8" ht="24">
      <c r="A105" s="158" t="s">
        <v>486</v>
      </c>
      <c r="B105" s="17" t="s">
        <v>184</v>
      </c>
      <c r="C105" s="17" t="s">
        <v>1335</v>
      </c>
      <c r="D105" s="17" t="s">
        <v>988</v>
      </c>
      <c r="E105" s="17" t="s">
        <v>402</v>
      </c>
      <c r="F105" s="19">
        <f>F106</f>
        <v>703.9</v>
      </c>
      <c r="G105" s="19">
        <f t="shared" si="4"/>
        <v>703.9</v>
      </c>
      <c r="H105" s="19">
        <f>H106</f>
        <v>0</v>
      </c>
    </row>
    <row r="106" spans="1:8" ht="24">
      <c r="A106" s="158" t="s">
        <v>471</v>
      </c>
      <c r="B106" s="17" t="s">
        <v>184</v>
      </c>
      <c r="C106" s="17" t="s">
        <v>1335</v>
      </c>
      <c r="D106" s="17" t="s">
        <v>988</v>
      </c>
      <c r="E106" s="17" t="s">
        <v>1333</v>
      </c>
      <c r="F106" s="20">
        <v>703.9</v>
      </c>
      <c r="G106" s="19">
        <f t="shared" si="4"/>
        <v>703.9</v>
      </c>
      <c r="H106" s="19"/>
    </row>
    <row r="107" spans="1:8" ht="36" hidden="1">
      <c r="A107" s="158" t="s">
        <v>178</v>
      </c>
      <c r="B107" s="17" t="s">
        <v>184</v>
      </c>
      <c r="C107" s="17" t="s">
        <v>1335</v>
      </c>
      <c r="D107" s="17" t="s">
        <v>1025</v>
      </c>
      <c r="E107" s="17" t="s">
        <v>516</v>
      </c>
      <c r="F107" s="20">
        <v>385</v>
      </c>
      <c r="G107" s="19">
        <f t="shared" si="4"/>
        <v>385</v>
      </c>
      <c r="H107" s="19"/>
    </row>
    <row r="108" spans="1:8" ht="36" hidden="1">
      <c r="A108" s="158" t="s">
        <v>52</v>
      </c>
      <c r="B108" s="17" t="s">
        <v>184</v>
      </c>
      <c r="C108" s="17" t="s">
        <v>1335</v>
      </c>
      <c r="D108" s="17" t="s">
        <v>1025</v>
      </c>
      <c r="E108" s="17" t="s">
        <v>465</v>
      </c>
      <c r="F108" s="20">
        <v>0</v>
      </c>
      <c r="G108" s="19">
        <f t="shared" si="4"/>
        <v>0</v>
      </c>
      <c r="H108" s="19"/>
    </row>
    <row r="109" spans="1:8" ht="24" hidden="1">
      <c r="A109" s="158" t="s">
        <v>233</v>
      </c>
      <c r="B109" s="17" t="s">
        <v>184</v>
      </c>
      <c r="C109" s="17" t="s">
        <v>1335</v>
      </c>
      <c r="D109" s="17" t="s">
        <v>1025</v>
      </c>
      <c r="E109" s="17" t="s">
        <v>234</v>
      </c>
      <c r="F109" s="20">
        <v>318.9</v>
      </c>
      <c r="G109" s="19">
        <f t="shared" si="4"/>
        <v>318.9</v>
      </c>
      <c r="H109" s="19"/>
    </row>
    <row r="110" spans="1:8" ht="24" hidden="1">
      <c r="A110" s="18" t="s">
        <v>513</v>
      </c>
      <c r="B110" s="17" t="s">
        <v>184</v>
      </c>
      <c r="C110" s="17" t="s">
        <v>1335</v>
      </c>
      <c r="D110" s="17" t="s">
        <v>474</v>
      </c>
      <c r="E110" s="17" t="s">
        <v>514</v>
      </c>
      <c r="F110" s="20"/>
      <c r="G110" s="19">
        <f t="shared" si="4"/>
        <v>0</v>
      </c>
      <c r="H110" s="19"/>
    </row>
    <row r="111" spans="1:8" ht="24">
      <c r="A111" s="159" t="s">
        <v>819</v>
      </c>
      <c r="B111" s="17" t="s">
        <v>184</v>
      </c>
      <c r="C111" s="17" t="s">
        <v>1335</v>
      </c>
      <c r="D111" s="17" t="s">
        <v>989</v>
      </c>
      <c r="E111" s="17" t="s">
        <v>1204</v>
      </c>
      <c r="F111" s="19">
        <f>F112</f>
        <v>12</v>
      </c>
      <c r="G111" s="19">
        <f t="shared" si="4"/>
        <v>12</v>
      </c>
      <c r="H111" s="19">
        <f>H112</f>
        <v>0</v>
      </c>
    </row>
    <row r="112" spans="1:8" ht="24">
      <c r="A112" s="158" t="s">
        <v>1189</v>
      </c>
      <c r="B112" s="17" t="s">
        <v>184</v>
      </c>
      <c r="C112" s="17" t="s">
        <v>1335</v>
      </c>
      <c r="D112" s="17" t="s">
        <v>989</v>
      </c>
      <c r="E112" s="17" t="s">
        <v>1190</v>
      </c>
      <c r="F112" s="19">
        <f>F113</f>
        <v>12</v>
      </c>
      <c r="G112" s="19">
        <f t="shared" si="4"/>
        <v>12</v>
      </c>
      <c r="H112" s="19"/>
    </row>
    <row r="113" spans="1:8" ht="24">
      <c r="A113" s="158" t="s">
        <v>1059</v>
      </c>
      <c r="B113" s="17" t="s">
        <v>184</v>
      </c>
      <c r="C113" s="17" t="s">
        <v>1335</v>
      </c>
      <c r="D113" s="17" t="s">
        <v>989</v>
      </c>
      <c r="E113" s="17" t="s">
        <v>1060</v>
      </c>
      <c r="F113" s="20">
        <v>12</v>
      </c>
      <c r="G113" s="19">
        <f t="shared" si="4"/>
        <v>12</v>
      </c>
      <c r="H113" s="19">
        <f>H114</f>
        <v>0</v>
      </c>
    </row>
    <row r="114" spans="1:8" ht="24" hidden="1">
      <c r="A114" s="159" t="s">
        <v>819</v>
      </c>
      <c r="B114" s="17" t="s">
        <v>184</v>
      </c>
      <c r="C114" s="17" t="s">
        <v>1335</v>
      </c>
      <c r="D114" s="17" t="s">
        <v>1026</v>
      </c>
      <c r="E114" s="17" t="s">
        <v>543</v>
      </c>
      <c r="F114" s="20">
        <v>12</v>
      </c>
      <c r="G114" s="19">
        <f t="shared" si="4"/>
        <v>12</v>
      </c>
      <c r="H114" s="19"/>
    </row>
    <row r="115" spans="1:8" ht="48">
      <c r="A115" s="159" t="s">
        <v>985</v>
      </c>
      <c r="B115" s="17" t="s">
        <v>303</v>
      </c>
      <c r="C115" s="17" t="s">
        <v>1335</v>
      </c>
      <c r="D115" s="17" t="s">
        <v>986</v>
      </c>
      <c r="E115" s="17"/>
      <c r="F115" s="19">
        <f>F116+F120+F125</f>
        <v>4988.3</v>
      </c>
      <c r="G115" s="19">
        <f t="shared" si="4"/>
        <v>4988.3</v>
      </c>
      <c r="H115" s="19">
        <f>H117+H121+H125</f>
        <v>0</v>
      </c>
    </row>
    <row r="116" spans="1:8" ht="72">
      <c r="A116" s="158" t="s">
        <v>485</v>
      </c>
      <c r="B116" s="17" t="s">
        <v>184</v>
      </c>
      <c r="C116" s="17" t="s">
        <v>1335</v>
      </c>
      <c r="D116" s="17" t="s">
        <v>987</v>
      </c>
      <c r="E116" s="17" t="s">
        <v>21</v>
      </c>
      <c r="F116" s="19">
        <f>F117</f>
        <v>4844.8</v>
      </c>
      <c r="G116" s="19">
        <f t="shared" si="4"/>
        <v>4844.8</v>
      </c>
      <c r="H116" s="19">
        <f>H117</f>
        <v>0</v>
      </c>
    </row>
    <row r="117" spans="1:8" ht="24">
      <c r="A117" s="158" t="s">
        <v>34</v>
      </c>
      <c r="B117" s="17" t="s">
        <v>184</v>
      </c>
      <c r="C117" s="17" t="s">
        <v>1335</v>
      </c>
      <c r="D117" s="17" t="s">
        <v>987</v>
      </c>
      <c r="E117" s="17" t="s">
        <v>416</v>
      </c>
      <c r="F117" s="20">
        <v>4844.8</v>
      </c>
      <c r="G117" s="19">
        <f t="shared" si="4"/>
        <v>4844.8</v>
      </c>
      <c r="H117" s="19"/>
    </row>
    <row r="118" spans="1:8" ht="15" hidden="1">
      <c r="A118" s="18" t="s">
        <v>812</v>
      </c>
      <c r="B118" s="17" t="s">
        <v>184</v>
      </c>
      <c r="C118" s="17" t="s">
        <v>1335</v>
      </c>
      <c r="D118" s="17" t="s">
        <v>987</v>
      </c>
      <c r="E118" s="17" t="s">
        <v>813</v>
      </c>
      <c r="F118" s="20">
        <v>4842.8</v>
      </c>
      <c r="G118" s="19">
        <f t="shared" si="4"/>
        <v>4842.8</v>
      </c>
      <c r="H118" s="19"/>
    </row>
    <row r="119" spans="1:8" ht="24" hidden="1">
      <c r="A119" s="18" t="s">
        <v>949</v>
      </c>
      <c r="B119" s="17" t="s">
        <v>184</v>
      </c>
      <c r="C119" s="17" t="s">
        <v>1335</v>
      </c>
      <c r="D119" s="17" t="s">
        <v>987</v>
      </c>
      <c r="E119" s="17" t="s">
        <v>950</v>
      </c>
      <c r="F119" s="20">
        <v>2</v>
      </c>
      <c r="G119" s="19">
        <f t="shared" si="4"/>
        <v>2</v>
      </c>
      <c r="H119" s="19"/>
    </row>
    <row r="120" spans="1:8" ht="24">
      <c r="A120" s="158" t="s">
        <v>486</v>
      </c>
      <c r="B120" s="17" t="s">
        <v>184</v>
      </c>
      <c r="C120" s="17" t="s">
        <v>1335</v>
      </c>
      <c r="D120" s="17" t="s">
        <v>987</v>
      </c>
      <c r="E120" s="17" t="s">
        <v>402</v>
      </c>
      <c r="F120" s="19">
        <f>F121</f>
        <v>108.5</v>
      </c>
      <c r="G120" s="19">
        <f t="shared" si="4"/>
        <v>108.5</v>
      </c>
      <c r="H120" s="19">
        <f>H121</f>
        <v>0</v>
      </c>
    </row>
    <row r="121" spans="1:8" ht="24">
      <c r="A121" s="158" t="s">
        <v>471</v>
      </c>
      <c r="B121" s="17" t="s">
        <v>184</v>
      </c>
      <c r="C121" s="17" t="s">
        <v>1335</v>
      </c>
      <c r="D121" s="17" t="s">
        <v>987</v>
      </c>
      <c r="E121" s="17" t="s">
        <v>1333</v>
      </c>
      <c r="F121" s="20">
        <f>110.5-2</f>
        <v>108.5</v>
      </c>
      <c r="G121" s="19">
        <f t="shared" si="4"/>
        <v>108.5</v>
      </c>
      <c r="H121" s="19"/>
    </row>
    <row r="122" spans="1:8" ht="36" hidden="1">
      <c r="A122" s="158" t="s">
        <v>1076</v>
      </c>
      <c r="B122" s="17" t="s">
        <v>184</v>
      </c>
      <c r="C122" s="17" t="s">
        <v>1335</v>
      </c>
      <c r="D122" s="17" t="s">
        <v>987</v>
      </c>
      <c r="E122" s="17" t="s">
        <v>516</v>
      </c>
      <c r="F122" s="20">
        <v>38.5</v>
      </c>
      <c r="G122" s="19">
        <f t="shared" si="4"/>
        <v>38.5</v>
      </c>
      <c r="H122" s="19"/>
    </row>
    <row r="123" spans="1:8" ht="36" hidden="1">
      <c r="A123" s="158" t="s">
        <v>52</v>
      </c>
      <c r="B123" s="17" t="s">
        <v>184</v>
      </c>
      <c r="C123" s="17" t="s">
        <v>1335</v>
      </c>
      <c r="D123" s="17" t="s">
        <v>987</v>
      </c>
      <c r="E123" s="17" t="s">
        <v>465</v>
      </c>
      <c r="F123" s="20"/>
      <c r="G123" s="19">
        <f t="shared" si="4"/>
        <v>0</v>
      </c>
      <c r="H123" s="19"/>
    </row>
    <row r="124" spans="1:8" ht="24" hidden="1">
      <c r="A124" s="158" t="s">
        <v>233</v>
      </c>
      <c r="B124" s="17" t="s">
        <v>184</v>
      </c>
      <c r="C124" s="17" t="s">
        <v>1335</v>
      </c>
      <c r="D124" s="17" t="s">
        <v>987</v>
      </c>
      <c r="E124" s="17" t="s">
        <v>234</v>
      </c>
      <c r="F124" s="20">
        <v>72</v>
      </c>
      <c r="G124" s="19">
        <f t="shared" si="4"/>
        <v>72</v>
      </c>
      <c r="H124" s="19"/>
    </row>
    <row r="125" spans="1:8" ht="24">
      <c r="A125" s="158" t="s">
        <v>1189</v>
      </c>
      <c r="B125" s="17" t="s">
        <v>184</v>
      </c>
      <c r="C125" s="17" t="s">
        <v>1335</v>
      </c>
      <c r="D125" s="17" t="s">
        <v>987</v>
      </c>
      <c r="E125" s="17" t="s">
        <v>1190</v>
      </c>
      <c r="F125" s="19">
        <f>F126</f>
        <v>35</v>
      </c>
      <c r="G125" s="19">
        <f t="shared" si="4"/>
        <v>35</v>
      </c>
      <c r="H125" s="19">
        <f>H126</f>
        <v>0</v>
      </c>
    </row>
    <row r="126" spans="1:8" ht="24">
      <c r="A126" s="158" t="s">
        <v>1059</v>
      </c>
      <c r="B126" s="17" t="s">
        <v>184</v>
      </c>
      <c r="C126" s="17" t="s">
        <v>1335</v>
      </c>
      <c r="D126" s="17" t="s">
        <v>987</v>
      </c>
      <c r="E126" s="17" t="s">
        <v>1060</v>
      </c>
      <c r="F126" s="20">
        <f>33+2</f>
        <v>35</v>
      </c>
      <c r="G126" s="19">
        <f t="shared" si="4"/>
        <v>35</v>
      </c>
      <c r="H126" s="19">
        <f>H127</f>
        <v>0</v>
      </c>
    </row>
    <row r="127" spans="1:8" ht="24" hidden="1">
      <c r="A127" s="18" t="s">
        <v>513</v>
      </c>
      <c r="B127" s="17" t="s">
        <v>184</v>
      </c>
      <c r="C127" s="17" t="s">
        <v>1335</v>
      </c>
      <c r="D127" s="17" t="s">
        <v>987</v>
      </c>
      <c r="E127" s="17" t="s">
        <v>514</v>
      </c>
      <c r="F127" s="19">
        <v>0</v>
      </c>
      <c r="G127" s="19">
        <f t="shared" si="4"/>
        <v>0</v>
      </c>
      <c r="H127" s="19"/>
    </row>
    <row r="128" spans="1:8" ht="24" hidden="1">
      <c r="A128" s="159" t="s">
        <v>990</v>
      </c>
      <c r="B128" s="17" t="s">
        <v>184</v>
      </c>
      <c r="C128" s="17" t="s">
        <v>1335</v>
      </c>
      <c r="D128" s="17" t="s">
        <v>987</v>
      </c>
      <c r="E128" s="17" t="s">
        <v>514</v>
      </c>
      <c r="F128" s="20">
        <v>0</v>
      </c>
      <c r="G128" s="19">
        <f t="shared" si="4"/>
        <v>0</v>
      </c>
      <c r="H128" s="19"/>
    </row>
    <row r="129" spans="1:8" ht="22.5" hidden="1">
      <c r="A129" s="78" t="s">
        <v>336</v>
      </c>
      <c r="B129" s="17" t="s">
        <v>184</v>
      </c>
      <c r="C129" s="17" t="s">
        <v>1338</v>
      </c>
      <c r="D129" s="17"/>
      <c r="E129" s="17"/>
      <c r="F129" s="19">
        <f aca="true" t="shared" si="5" ref="F129:H130">F130</f>
        <v>0</v>
      </c>
      <c r="G129" s="19">
        <f t="shared" si="5"/>
        <v>0</v>
      </c>
      <c r="H129" s="19">
        <f t="shared" si="5"/>
        <v>0</v>
      </c>
    </row>
    <row r="130" spans="1:8" ht="15" hidden="1">
      <c r="A130" s="18" t="s">
        <v>462</v>
      </c>
      <c r="B130" s="17" t="s">
        <v>184</v>
      </c>
      <c r="C130" s="17" t="s">
        <v>1338</v>
      </c>
      <c r="D130" s="17" t="s">
        <v>463</v>
      </c>
      <c r="E130" s="17" t="s">
        <v>1204</v>
      </c>
      <c r="F130" s="19">
        <f t="shared" si="5"/>
        <v>0</v>
      </c>
      <c r="G130" s="19">
        <f t="shared" si="5"/>
        <v>0</v>
      </c>
      <c r="H130" s="19">
        <f t="shared" si="5"/>
        <v>0</v>
      </c>
    </row>
    <row r="131" spans="1:8" ht="24" hidden="1">
      <c r="A131" s="18" t="s">
        <v>464</v>
      </c>
      <c r="B131" s="17" t="s">
        <v>184</v>
      </c>
      <c r="C131" s="17" t="s">
        <v>1338</v>
      </c>
      <c r="D131" s="17" t="s">
        <v>463</v>
      </c>
      <c r="E131" s="17" t="s">
        <v>416</v>
      </c>
      <c r="F131" s="20"/>
      <c r="G131" s="19">
        <f>F131-H131</f>
        <v>0</v>
      </c>
      <c r="H131" s="19"/>
    </row>
    <row r="132" spans="1:8" ht="22.5" hidden="1">
      <c r="A132" s="78" t="s">
        <v>874</v>
      </c>
      <c r="B132" s="17" t="s">
        <v>184</v>
      </c>
      <c r="C132" s="17" t="s">
        <v>806</v>
      </c>
      <c r="D132" s="17"/>
      <c r="E132" s="17"/>
      <c r="F132" s="19">
        <f>F133</f>
        <v>0</v>
      </c>
      <c r="G132" s="19">
        <f>G133</f>
        <v>0</v>
      </c>
      <c r="H132" s="19"/>
    </row>
    <row r="133" spans="1:8" ht="15" hidden="1">
      <c r="A133" s="18" t="s">
        <v>1251</v>
      </c>
      <c r="B133" s="17" t="s">
        <v>184</v>
      </c>
      <c r="C133" s="17" t="s">
        <v>806</v>
      </c>
      <c r="D133" s="17" t="s">
        <v>875</v>
      </c>
      <c r="E133" s="17"/>
      <c r="F133" s="19">
        <f>F134</f>
        <v>0</v>
      </c>
      <c r="G133" s="19">
        <f>G134</f>
        <v>0</v>
      </c>
      <c r="H133" s="19"/>
    </row>
    <row r="134" spans="1:8" ht="15" hidden="1">
      <c r="A134" s="18" t="s">
        <v>876</v>
      </c>
      <c r="B134" s="17" t="s">
        <v>184</v>
      </c>
      <c r="C134" s="17" t="s">
        <v>806</v>
      </c>
      <c r="D134" s="17" t="s">
        <v>875</v>
      </c>
      <c r="E134" s="17" t="s">
        <v>877</v>
      </c>
      <c r="F134" s="20">
        <f>55-55</f>
        <v>0</v>
      </c>
      <c r="G134" s="19">
        <f>F134-H134</f>
        <v>0</v>
      </c>
      <c r="H134" s="19"/>
    </row>
    <row r="135" spans="1:8" ht="15">
      <c r="A135" s="78" t="s">
        <v>1209</v>
      </c>
      <c r="B135" s="17" t="s">
        <v>184</v>
      </c>
      <c r="C135" s="17" t="s">
        <v>49</v>
      </c>
      <c r="D135" s="153"/>
      <c r="E135" s="17"/>
      <c r="F135" s="19">
        <f>F137</f>
        <v>3793.8</v>
      </c>
      <c r="G135" s="19">
        <f>G137</f>
        <v>3793.8</v>
      </c>
      <c r="H135" s="19">
        <f>H137</f>
        <v>0</v>
      </c>
    </row>
    <row r="136" spans="1:8" ht="15">
      <c r="A136" s="33" t="s">
        <v>1209</v>
      </c>
      <c r="B136" s="17" t="s">
        <v>184</v>
      </c>
      <c r="C136" s="17" t="s">
        <v>49</v>
      </c>
      <c r="D136" s="17" t="s">
        <v>480</v>
      </c>
      <c r="E136" s="17"/>
      <c r="F136" s="19">
        <f>F137</f>
        <v>3793.8</v>
      </c>
      <c r="G136" s="19">
        <f>F136-H136</f>
        <v>3793.8</v>
      </c>
      <c r="H136" s="19"/>
    </row>
    <row r="137" spans="1:8" ht="24">
      <c r="A137" s="18" t="s">
        <v>352</v>
      </c>
      <c r="B137" s="17" t="s">
        <v>184</v>
      </c>
      <c r="C137" s="17" t="s">
        <v>49</v>
      </c>
      <c r="D137" s="17" t="s">
        <v>481</v>
      </c>
      <c r="E137" s="17" t="s">
        <v>1204</v>
      </c>
      <c r="F137" s="19">
        <f>F138</f>
        <v>3793.8</v>
      </c>
      <c r="G137" s="19">
        <f>F137-H137</f>
        <v>3793.8</v>
      </c>
      <c r="H137" s="19">
        <f>H138</f>
        <v>0</v>
      </c>
    </row>
    <row r="138" spans="1:8" ht="24">
      <c r="A138" s="158" t="s">
        <v>1189</v>
      </c>
      <c r="B138" s="17" t="s">
        <v>184</v>
      </c>
      <c r="C138" s="17" t="s">
        <v>49</v>
      </c>
      <c r="D138" s="17" t="s">
        <v>481</v>
      </c>
      <c r="E138" s="17" t="s">
        <v>1190</v>
      </c>
      <c r="F138" s="19">
        <f>F139</f>
        <v>3793.8</v>
      </c>
      <c r="G138" s="19">
        <f>F138-H138</f>
        <v>3793.8</v>
      </c>
      <c r="H138" s="19"/>
    </row>
    <row r="139" spans="1:8" ht="24">
      <c r="A139" s="18" t="s">
        <v>231</v>
      </c>
      <c r="B139" s="17" t="s">
        <v>184</v>
      </c>
      <c r="C139" s="17" t="s">
        <v>49</v>
      </c>
      <c r="D139" s="17" t="s">
        <v>481</v>
      </c>
      <c r="E139" s="17" t="s">
        <v>232</v>
      </c>
      <c r="F139" s="20">
        <f>4647.8-854</f>
        <v>3793.8</v>
      </c>
      <c r="G139" s="19">
        <f>F139-H139</f>
        <v>3793.8</v>
      </c>
      <c r="H139" s="19"/>
    </row>
    <row r="140" spans="1:8" ht="24">
      <c r="A140" s="31" t="s">
        <v>865</v>
      </c>
      <c r="B140" s="17" t="s">
        <v>184</v>
      </c>
      <c r="C140" s="17" t="s">
        <v>756</v>
      </c>
      <c r="D140" s="17"/>
      <c r="E140" s="17"/>
      <c r="F140" s="19">
        <f>F141+F146</f>
        <v>508587.1</v>
      </c>
      <c r="G140" s="19">
        <f aca="true" t="shared" si="6" ref="G140:G213">F140-H140</f>
        <v>508587.1</v>
      </c>
      <c r="H140" s="19"/>
    </row>
    <row r="141" spans="1:8" ht="36">
      <c r="A141" s="33" t="s">
        <v>561</v>
      </c>
      <c r="B141" s="17" t="s">
        <v>184</v>
      </c>
      <c r="C141" s="17" t="s">
        <v>756</v>
      </c>
      <c r="D141" s="17" t="s">
        <v>1399</v>
      </c>
      <c r="E141" s="17"/>
      <c r="F141" s="19">
        <f>F142</f>
        <v>2562</v>
      </c>
      <c r="G141" s="19">
        <f t="shared" si="6"/>
        <v>2562</v>
      </c>
      <c r="H141" s="19">
        <f>H142</f>
        <v>0</v>
      </c>
    </row>
    <row r="142" spans="1:8" ht="36">
      <c r="A142" s="36" t="s">
        <v>1288</v>
      </c>
      <c r="B142" s="17" t="s">
        <v>184</v>
      </c>
      <c r="C142" s="17" t="s">
        <v>756</v>
      </c>
      <c r="D142" s="17" t="s">
        <v>366</v>
      </c>
      <c r="E142" s="17"/>
      <c r="F142" s="19">
        <f>F143</f>
        <v>2562</v>
      </c>
      <c r="G142" s="19">
        <f t="shared" si="6"/>
        <v>2562</v>
      </c>
      <c r="H142" s="19"/>
    </row>
    <row r="143" spans="1:8" ht="24">
      <c r="A143" s="18" t="s">
        <v>1189</v>
      </c>
      <c r="B143" s="17" t="s">
        <v>184</v>
      </c>
      <c r="C143" s="17" t="s">
        <v>756</v>
      </c>
      <c r="D143" s="17" t="s">
        <v>367</v>
      </c>
      <c r="E143" s="17" t="s">
        <v>1190</v>
      </c>
      <c r="F143" s="19">
        <f>F144</f>
        <v>2562</v>
      </c>
      <c r="G143" s="19">
        <f t="shared" si="6"/>
        <v>2562</v>
      </c>
      <c r="H143" s="19"/>
    </row>
    <row r="144" spans="1:8" ht="48">
      <c r="A144" s="36" t="s">
        <v>449</v>
      </c>
      <c r="B144" s="17" t="s">
        <v>184</v>
      </c>
      <c r="C144" s="17" t="s">
        <v>756</v>
      </c>
      <c r="D144" s="17" t="s">
        <v>367</v>
      </c>
      <c r="E144" s="17" t="s">
        <v>467</v>
      </c>
      <c r="F144" s="19">
        <f>F145</f>
        <v>2562</v>
      </c>
      <c r="G144" s="19">
        <f t="shared" si="6"/>
        <v>2562</v>
      </c>
      <c r="H144" s="19"/>
    </row>
    <row r="145" spans="1:8" ht="60">
      <c r="A145" s="36" t="s">
        <v>1075</v>
      </c>
      <c r="B145" s="17" t="s">
        <v>184</v>
      </c>
      <c r="C145" s="17" t="s">
        <v>756</v>
      </c>
      <c r="D145" s="17" t="s">
        <v>367</v>
      </c>
      <c r="E145" s="17" t="s">
        <v>467</v>
      </c>
      <c r="F145" s="20">
        <f>2367.5+194.5</f>
        <v>2562</v>
      </c>
      <c r="G145" s="19">
        <f t="shared" si="6"/>
        <v>2562</v>
      </c>
      <c r="H145" s="19"/>
    </row>
    <row r="146" spans="1:8" ht="24">
      <c r="A146" s="33" t="s">
        <v>328</v>
      </c>
      <c r="B146" s="17" t="s">
        <v>184</v>
      </c>
      <c r="C146" s="17" t="s">
        <v>756</v>
      </c>
      <c r="D146" s="17" t="s">
        <v>458</v>
      </c>
      <c r="E146" s="17"/>
      <c r="F146" s="19">
        <f>F147+F157+F171+F183+F192+F205</f>
        <v>506025.1</v>
      </c>
      <c r="G146" s="19">
        <f t="shared" si="6"/>
        <v>506025.1</v>
      </c>
      <c r="H146" s="19"/>
    </row>
    <row r="147" spans="1:8" ht="36">
      <c r="A147" s="36" t="s">
        <v>828</v>
      </c>
      <c r="B147" s="17" t="s">
        <v>184</v>
      </c>
      <c r="C147" s="17" t="s">
        <v>756</v>
      </c>
      <c r="D147" s="17" t="s">
        <v>527</v>
      </c>
      <c r="E147" s="17"/>
      <c r="F147" s="19">
        <f>F149+F151</f>
        <v>33268</v>
      </c>
      <c r="G147" s="19">
        <f t="shared" si="6"/>
        <v>33268</v>
      </c>
      <c r="H147" s="19">
        <f>H149+H151</f>
        <v>0</v>
      </c>
    </row>
    <row r="148" spans="1:8" ht="24">
      <c r="A148" s="158" t="s">
        <v>486</v>
      </c>
      <c r="B148" s="17" t="s">
        <v>184</v>
      </c>
      <c r="C148" s="17" t="s">
        <v>756</v>
      </c>
      <c r="D148" s="17" t="s">
        <v>528</v>
      </c>
      <c r="E148" s="17" t="s">
        <v>402</v>
      </c>
      <c r="F148" s="19">
        <f>F149</f>
        <v>1901</v>
      </c>
      <c r="G148" s="19">
        <f t="shared" si="6"/>
        <v>1901</v>
      </c>
      <c r="H148" s="19">
        <f>H149</f>
        <v>0</v>
      </c>
    </row>
    <row r="149" spans="1:8" ht="24">
      <c r="A149" s="158" t="s">
        <v>471</v>
      </c>
      <c r="B149" s="17" t="s">
        <v>184</v>
      </c>
      <c r="C149" s="17" t="s">
        <v>756</v>
      </c>
      <c r="D149" s="17" t="s">
        <v>528</v>
      </c>
      <c r="E149" s="17" t="s">
        <v>1333</v>
      </c>
      <c r="F149" s="20">
        <f>992+30+100+201+400+100+78</f>
        <v>1901</v>
      </c>
      <c r="G149" s="19">
        <f t="shared" si="6"/>
        <v>1901</v>
      </c>
      <c r="H149" s="19"/>
    </row>
    <row r="150" spans="1:8" ht="24" hidden="1">
      <c r="A150" s="158" t="s">
        <v>233</v>
      </c>
      <c r="B150" s="17" t="s">
        <v>184</v>
      </c>
      <c r="C150" s="17" t="s">
        <v>756</v>
      </c>
      <c r="D150" s="17" t="s">
        <v>528</v>
      </c>
      <c r="E150" s="17" t="s">
        <v>234</v>
      </c>
      <c r="F150" s="20">
        <v>382</v>
      </c>
      <c r="G150" s="19">
        <f t="shared" si="6"/>
        <v>382</v>
      </c>
      <c r="H150" s="19"/>
    </row>
    <row r="151" spans="1:8" ht="24">
      <c r="A151" s="158" t="s">
        <v>1189</v>
      </c>
      <c r="B151" s="17" t="s">
        <v>184</v>
      </c>
      <c r="C151" s="17" t="s">
        <v>756</v>
      </c>
      <c r="D151" s="17" t="s">
        <v>528</v>
      </c>
      <c r="E151" s="17" t="s">
        <v>1190</v>
      </c>
      <c r="F151" s="19">
        <f>F152+F154+F156</f>
        <v>31367</v>
      </c>
      <c r="G151" s="19">
        <f t="shared" si="6"/>
        <v>31367</v>
      </c>
      <c r="H151" s="19">
        <f>H152+H154+H156</f>
        <v>0</v>
      </c>
    </row>
    <row r="152" spans="1:8" ht="24">
      <c r="A152" s="158" t="s">
        <v>1304</v>
      </c>
      <c r="B152" s="17" t="s">
        <v>184</v>
      </c>
      <c r="C152" s="17" t="s">
        <v>756</v>
      </c>
      <c r="D152" s="17" t="s">
        <v>528</v>
      </c>
      <c r="E152" s="17" t="s">
        <v>1305</v>
      </c>
      <c r="F152" s="20">
        <f>730+20712.6</f>
        <v>21442.6</v>
      </c>
      <c r="G152" s="19">
        <f>G153+G155+G157</f>
        <v>43128.2</v>
      </c>
      <c r="H152" s="19">
        <f>H153</f>
        <v>0</v>
      </c>
    </row>
    <row r="153" spans="1:8" ht="84" hidden="1">
      <c r="A153" s="36" t="s">
        <v>1455</v>
      </c>
      <c r="B153" s="17" t="s">
        <v>184</v>
      </c>
      <c r="C153" s="17" t="s">
        <v>756</v>
      </c>
      <c r="D153" s="17" t="s">
        <v>528</v>
      </c>
      <c r="E153" s="17" t="s">
        <v>1188</v>
      </c>
      <c r="F153" s="20">
        <v>500</v>
      </c>
      <c r="G153" s="19">
        <f t="shared" si="6"/>
        <v>500</v>
      </c>
      <c r="H153" s="19"/>
    </row>
    <row r="154" spans="1:8" ht="24">
      <c r="A154" s="158" t="s">
        <v>1059</v>
      </c>
      <c r="B154" s="17" t="s">
        <v>184</v>
      </c>
      <c r="C154" s="17" t="s">
        <v>756</v>
      </c>
      <c r="D154" s="17" t="s">
        <v>528</v>
      </c>
      <c r="E154" s="17" t="s">
        <v>1060</v>
      </c>
      <c r="F154" s="20">
        <f>500+20+85+100+100</f>
        <v>805</v>
      </c>
      <c r="G154" s="19">
        <f t="shared" si="6"/>
        <v>805</v>
      </c>
      <c r="H154" s="19">
        <f>H155</f>
        <v>0</v>
      </c>
    </row>
    <row r="155" spans="1:8" ht="24" hidden="1">
      <c r="A155" s="159" t="s">
        <v>513</v>
      </c>
      <c r="B155" s="17" t="s">
        <v>184</v>
      </c>
      <c r="C155" s="17" t="s">
        <v>756</v>
      </c>
      <c r="D155" s="17" t="s">
        <v>528</v>
      </c>
      <c r="E155" s="17" t="s">
        <v>514</v>
      </c>
      <c r="F155" s="20">
        <v>500</v>
      </c>
      <c r="G155" s="19">
        <f t="shared" si="6"/>
        <v>500</v>
      </c>
      <c r="H155" s="19"/>
    </row>
    <row r="156" spans="1:8" ht="24">
      <c r="A156" s="36" t="s">
        <v>1191</v>
      </c>
      <c r="B156" s="17" t="s">
        <v>184</v>
      </c>
      <c r="C156" s="17" t="s">
        <v>756</v>
      </c>
      <c r="D156" s="17" t="s">
        <v>528</v>
      </c>
      <c r="E156" s="17" t="s">
        <v>1192</v>
      </c>
      <c r="F156" s="20">
        <f>8923.4+100+96</f>
        <v>9119.4</v>
      </c>
      <c r="G156" s="19">
        <f t="shared" si="6"/>
        <v>9119.4</v>
      </c>
      <c r="H156" s="19"/>
    </row>
    <row r="157" spans="1:8" ht="36">
      <c r="A157" s="36" t="s">
        <v>945</v>
      </c>
      <c r="B157" s="17" t="s">
        <v>184</v>
      </c>
      <c r="C157" s="17" t="s">
        <v>756</v>
      </c>
      <c r="D157" s="17" t="s">
        <v>946</v>
      </c>
      <c r="E157" s="17"/>
      <c r="F157" s="19">
        <f>F158+F161+F167+F165+F169</f>
        <v>42128.2</v>
      </c>
      <c r="G157" s="19">
        <f t="shared" si="6"/>
        <v>42128.2</v>
      </c>
      <c r="H157" s="19">
        <f>H159+H162+H167</f>
        <v>0</v>
      </c>
    </row>
    <row r="158" spans="1:8" ht="72">
      <c r="A158" s="158" t="s">
        <v>485</v>
      </c>
      <c r="B158" s="17" t="s">
        <v>184</v>
      </c>
      <c r="C158" s="17" t="s">
        <v>756</v>
      </c>
      <c r="D158" s="17" t="s">
        <v>482</v>
      </c>
      <c r="E158" s="17" t="s">
        <v>21</v>
      </c>
      <c r="F158" s="19">
        <f>F159</f>
        <v>3257.8</v>
      </c>
      <c r="G158" s="19">
        <f t="shared" si="6"/>
        <v>3257.8</v>
      </c>
      <c r="H158" s="19">
        <f>H159</f>
        <v>0</v>
      </c>
    </row>
    <row r="159" spans="1:8" ht="24">
      <c r="A159" s="36" t="s">
        <v>310</v>
      </c>
      <c r="B159" s="17" t="s">
        <v>184</v>
      </c>
      <c r="C159" s="17" t="s">
        <v>756</v>
      </c>
      <c r="D159" s="17" t="s">
        <v>482</v>
      </c>
      <c r="E159" s="17" t="s">
        <v>311</v>
      </c>
      <c r="F159" s="20">
        <f>3246-1.1-0.1+13</f>
        <v>3257.8</v>
      </c>
      <c r="G159" s="19">
        <f t="shared" si="6"/>
        <v>3257.8</v>
      </c>
      <c r="H159" s="19">
        <f>H160</f>
        <v>0</v>
      </c>
    </row>
    <row r="160" spans="1:8" ht="15" hidden="1">
      <c r="A160" s="18" t="s">
        <v>812</v>
      </c>
      <c r="B160" s="17" t="s">
        <v>184</v>
      </c>
      <c r="C160" s="17" t="s">
        <v>756</v>
      </c>
      <c r="D160" s="17" t="s">
        <v>482</v>
      </c>
      <c r="E160" s="17" t="s">
        <v>544</v>
      </c>
      <c r="F160" s="20">
        <v>3268</v>
      </c>
      <c r="G160" s="19">
        <f t="shared" si="6"/>
        <v>3268</v>
      </c>
      <c r="H160" s="19"/>
    </row>
    <row r="161" spans="1:8" ht="24">
      <c r="A161" s="158" t="s">
        <v>486</v>
      </c>
      <c r="B161" s="17" t="s">
        <v>184</v>
      </c>
      <c r="C161" s="17" t="s">
        <v>756</v>
      </c>
      <c r="D161" s="17" t="s">
        <v>482</v>
      </c>
      <c r="E161" s="17" t="s">
        <v>402</v>
      </c>
      <c r="F161" s="19">
        <f>F162</f>
        <v>1849.7</v>
      </c>
      <c r="G161" s="19">
        <f t="shared" si="6"/>
        <v>1849.7</v>
      </c>
      <c r="H161" s="19">
        <f>H162</f>
        <v>0</v>
      </c>
    </row>
    <row r="162" spans="1:8" ht="24">
      <c r="A162" s="158" t="s">
        <v>471</v>
      </c>
      <c r="B162" s="17" t="s">
        <v>184</v>
      </c>
      <c r="C162" s="17" t="s">
        <v>756</v>
      </c>
      <c r="D162" s="17" t="s">
        <v>482</v>
      </c>
      <c r="E162" s="17" t="s">
        <v>1333</v>
      </c>
      <c r="F162" s="20">
        <f>1720+37.3+10.4-293.5+161+85.5+129</f>
        <v>1849.7</v>
      </c>
      <c r="G162" s="19">
        <f t="shared" si="6"/>
        <v>1849.7</v>
      </c>
      <c r="H162" s="19"/>
    </row>
    <row r="163" spans="1:8" ht="36" hidden="1">
      <c r="A163" s="158" t="s">
        <v>1076</v>
      </c>
      <c r="B163" s="17" t="s">
        <v>184</v>
      </c>
      <c r="C163" s="17" t="s">
        <v>756</v>
      </c>
      <c r="D163" s="17" t="s">
        <v>482</v>
      </c>
      <c r="E163" s="17" t="s">
        <v>516</v>
      </c>
      <c r="F163" s="20"/>
      <c r="G163" s="19">
        <f t="shared" si="6"/>
        <v>0</v>
      </c>
      <c r="H163" s="19"/>
    </row>
    <row r="164" spans="1:8" ht="24" hidden="1">
      <c r="A164" s="158" t="s">
        <v>233</v>
      </c>
      <c r="B164" s="17" t="s">
        <v>184</v>
      </c>
      <c r="C164" s="17" t="s">
        <v>756</v>
      </c>
      <c r="D164" s="17" t="s">
        <v>482</v>
      </c>
      <c r="E164" s="17" t="s">
        <v>234</v>
      </c>
      <c r="F164" s="20"/>
      <c r="G164" s="19">
        <f t="shared" si="6"/>
        <v>0</v>
      </c>
      <c r="H164" s="19"/>
    </row>
    <row r="165" spans="1:8" ht="24">
      <c r="A165" s="158" t="s">
        <v>1189</v>
      </c>
      <c r="B165" s="17" t="s">
        <v>184</v>
      </c>
      <c r="C165" s="17" t="s">
        <v>756</v>
      </c>
      <c r="D165" s="17" t="s">
        <v>482</v>
      </c>
      <c r="E165" s="17" t="s">
        <v>1190</v>
      </c>
      <c r="F165" s="20">
        <f>F166</f>
        <v>6</v>
      </c>
      <c r="G165" s="19">
        <f t="shared" si="6"/>
        <v>6</v>
      </c>
      <c r="H165" s="19"/>
    </row>
    <row r="166" spans="1:8" ht="24">
      <c r="A166" s="158" t="s">
        <v>1059</v>
      </c>
      <c r="B166" s="17" t="s">
        <v>184</v>
      </c>
      <c r="C166" s="17" t="s">
        <v>756</v>
      </c>
      <c r="D166" s="17" t="s">
        <v>482</v>
      </c>
      <c r="E166" s="17" t="s">
        <v>1060</v>
      </c>
      <c r="F166" s="20">
        <v>6</v>
      </c>
      <c r="G166" s="19">
        <f t="shared" si="6"/>
        <v>6</v>
      </c>
      <c r="H166" s="19"/>
    </row>
    <row r="167" spans="1:8" ht="24">
      <c r="A167" s="158" t="s">
        <v>1189</v>
      </c>
      <c r="B167" s="17" t="s">
        <v>184</v>
      </c>
      <c r="C167" s="17" t="s">
        <v>756</v>
      </c>
      <c r="D167" s="17" t="s">
        <v>815</v>
      </c>
      <c r="E167" s="17" t="s">
        <v>1190</v>
      </c>
      <c r="F167" s="19">
        <f>F168</f>
        <v>17085</v>
      </c>
      <c r="G167" s="19">
        <f t="shared" si="6"/>
        <v>17085</v>
      </c>
      <c r="H167" s="19">
        <f>H168</f>
        <v>0</v>
      </c>
    </row>
    <row r="168" spans="1:8" ht="24">
      <c r="A168" s="158" t="s">
        <v>1059</v>
      </c>
      <c r="B168" s="17" t="s">
        <v>184</v>
      </c>
      <c r="C168" s="17" t="s">
        <v>756</v>
      </c>
      <c r="D168" s="17" t="s">
        <v>815</v>
      </c>
      <c r="E168" s="17" t="s">
        <v>1060</v>
      </c>
      <c r="F168" s="20">
        <v>17085</v>
      </c>
      <c r="G168" s="19">
        <f t="shared" si="6"/>
        <v>17085</v>
      </c>
      <c r="H168" s="19">
        <f>H169+H170</f>
        <v>0</v>
      </c>
    </row>
    <row r="169" spans="1:8" ht="24">
      <c r="A169" s="158" t="s">
        <v>486</v>
      </c>
      <c r="B169" s="17" t="s">
        <v>184</v>
      </c>
      <c r="C169" s="17" t="s">
        <v>756</v>
      </c>
      <c r="D169" s="17" t="s">
        <v>1434</v>
      </c>
      <c r="E169" s="17" t="s">
        <v>402</v>
      </c>
      <c r="F169" s="19">
        <f>F170</f>
        <v>19929.699999999997</v>
      </c>
      <c r="G169" s="19">
        <f t="shared" si="6"/>
        <v>19929.699999999997</v>
      </c>
      <c r="H169" s="19"/>
    </row>
    <row r="170" spans="1:8" ht="24">
      <c r="A170" s="158" t="s">
        <v>471</v>
      </c>
      <c r="B170" s="17" t="s">
        <v>184</v>
      </c>
      <c r="C170" s="17" t="s">
        <v>756</v>
      </c>
      <c r="D170" s="17" t="s">
        <v>1434</v>
      </c>
      <c r="E170" s="17" t="s">
        <v>1333</v>
      </c>
      <c r="F170" s="20">
        <f>2310.2+31887+0.1-14125.6-13-129</f>
        <v>19929.699999999997</v>
      </c>
      <c r="G170" s="19">
        <f t="shared" si="6"/>
        <v>19929.699999999997</v>
      </c>
      <c r="H170" s="19"/>
    </row>
    <row r="171" spans="1:8" ht="36">
      <c r="A171" s="36" t="s">
        <v>748</v>
      </c>
      <c r="B171" s="17" t="s">
        <v>184</v>
      </c>
      <c r="C171" s="17" t="s">
        <v>756</v>
      </c>
      <c r="D171" s="17" t="s">
        <v>749</v>
      </c>
      <c r="E171" s="17"/>
      <c r="F171" s="19">
        <f>F172+F175+F179+F181</f>
        <v>5772.8</v>
      </c>
      <c r="G171" s="19">
        <f t="shared" si="6"/>
        <v>5772.8</v>
      </c>
      <c r="H171" s="19">
        <f>H173+H176+H179</f>
        <v>0</v>
      </c>
    </row>
    <row r="172" spans="1:8" ht="72">
      <c r="A172" s="158" t="s">
        <v>485</v>
      </c>
      <c r="B172" s="17" t="s">
        <v>184</v>
      </c>
      <c r="C172" s="17" t="s">
        <v>756</v>
      </c>
      <c r="D172" s="17" t="s">
        <v>750</v>
      </c>
      <c r="E172" s="17" t="s">
        <v>21</v>
      </c>
      <c r="F172" s="19">
        <f>F173</f>
        <v>4938.5</v>
      </c>
      <c r="G172" s="19">
        <f t="shared" si="6"/>
        <v>4938.5</v>
      </c>
      <c r="H172" s="19">
        <f>H173</f>
        <v>0</v>
      </c>
    </row>
    <row r="173" spans="1:8" ht="24">
      <c r="A173" s="36" t="s">
        <v>310</v>
      </c>
      <c r="B173" s="17" t="s">
        <v>184</v>
      </c>
      <c r="C173" s="17" t="s">
        <v>756</v>
      </c>
      <c r="D173" s="17" t="s">
        <v>750</v>
      </c>
      <c r="E173" s="17" t="s">
        <v>311</v>
      </c>
      <c r="F173" s="20">
        <f>4605-3.9-1+338.4</f>
        <v>4938.5</v>
      </c>
      <c r="G173" s="19">
        <f t="shared" si="6"/>
        <v>4938.5</v>
      </c>
      <c r="H173" s="19">
        <f>H174</f>
        <v>0</v>
      </c>
    </row>
    <row r="174" spans="1:8" ht="15" hidden="1">
      <c r="A174" s="18" t="s">
        <v>812</v>
      </c>
      <c r="B174" s="17" t="s">
        <v>184</v>
      </c>
      <c r="C174" s="17" t="s">
        <v>756</v>
      </c>
      <c r="D174" s="17" t="s">
        <v>750</v>
      </c>
      <c r="E174" s="17" t="s">
        <v>544</v>
      </c>
      <c r="F174" s="20">
        <v>4605</v>
      </c>
      <c r="G174" s="19">
        <f t="shared" si="6"/>
        <v>4605</v>
      </c>
      <c r="H174" s="19"/>
    </row>
    <row r="175" spans="1:8" ht="24">
      <c r="A175" s="158" t="s">
        <v>486</v>
      </c>
      <c r="B175" s="17" t="s">
        <v>184</v>
      </c>
      <c r="C175" s="17" t="s">
        <v>756</v>
      </c>
      <c r="D175" s="17" t="s">
        <v>750</v>
      </c>
      <c r="E175" s="17" t="s">
        <v>402</v>
      </c>
      <c r="F175" s="19">
        <f>F176</f>
        <v>827.3000000000001</v>
      </c>
      <c r="G175" s="19">
        <f t="shared" si="6"/>
        <v>827.3000000000001</v>
      </c>
      <c r="H175" s="19">
        <f>H176</f>
        <v>0</v>
      </c>
    </row>
    <row r="176" spans="1:8" ht="24">
      <c r="A176" s="158" t="s">
        <v>471</v>
      </c>
      <c r="B176" s="17" t="s">
        <v>184</v>
      </c>
      <c r="C176" s="17" t="s">
        <v>756</v>
      </c>
      <c r="D176" s="17" t="s">
        <v>750</v>
      </c>
      <c r="E176" s="17" t="s">
        <v>1333</v>
      </c>
      <c r="F176" s="20">
        <f>1237+4.9-76.2-338.4</f>
        <v>827.3000000000001</v>
      </c>
      <c r="G176" s="19">
        <f t="shared" si="6"/>
        <v>827.3000000000001</v>
      </c>
      <c r="H176" s="19"/>
    </row>
    <row r="177" spans="1:8" ht="36" hidden="1">
      <c r="A177" s="158" t="s">
        <v>178</v>
      </c>
      <c r="B177" s="17" t="s">
        <v>184</v>
      </c>
      <c r="C177" s="17" t="s">
        <v>756</v>
      </c>
      <c r="D177" s="17" t="s">
        <v>750</v>
      </c>
      <c r="E177" s="17" t="s">
        <v>516</v>
      </c>
      <c r="F177" s="20">
        <v>79</v>
      </c>
      <c r="G177" s="19">
        <f t="shared" si="6"/>
        <v>79</v>
      </c>
      <c r="H177" s="19"/>
    </row>
    <row r="178" spans="1:8" ht="24" hidden="1">
      <c r="A178" s="158" t="s">
        <v>233</v>
      </c>
      <c r="B178" s="17" t="s">
        <v>184</v>
      </c>
      <c r="C178" s="17" t="s">
        <v>756</v>
      </c>
      <c r="D178" s="17" t="s">
        <v>750</v>
      </c>
      <c r="E178" s="17" t="s">
        <v>234</v>
      </c>
      <c r="F178" s="20">
        <v>1158</v>
      </c>
      <c r="G178" s="19">
        <f t="shared" si="6"/>
        <v>1158</v>
      </c>
      <c r="H178" s="19"/>
    </row>
    <row r="179" spans="1:8" ht="24">
      <c r="A179" s="158" t="s">
        <v>1189</v>
      </c>
      <c r="B179" s="17" t="s">
        <v>184</v>
      </c>
      <c r="C179" s="17" t="s">
        <v>756</v>
      </c>
      <c r="D179" s="17" t="s">
        <v>750</v>
      </c>
      <c r="E179" s="17" t="s">
        <v>1190</v>
      </c>
      <c r="F179" s="19">
        <f>F180</f>
        <v>4</v>
      </c>
      <c r="G179" s="19">
        <f t="shared" si="6"/>
        <v>4</v>
      </c>
      <c r="H179" s="19">
        <f>H180</f>
        <v>0</v>
      </c>
    </row>
    <row r="180" spans="1:8" ht="24">
      <c r="A180" s="158" t="s">
        <v>1059</v>
      </c>
      <c r="B180" s="17" t="s">
        <v>184</v>
      </c>
      <c r="C180" s="17" t="s">
        <v>756</v>
      </c>
      <c r="D180" s="17" t="s">
        <v>750</v>
      </c>
      <c r="E180" s="17" t="s">
        <v>1060</v>
      </c>
      <c r="F180" s="20">
        <v>4</v>
      </c>
      <c r="G180" s="19">
        <f t="shared" si="6"/>
        <v>4</v>
      </c>
      <c r="H180" s="19">
        <f>H181+H182</f>
        <v>0</v>
      </c>
    </row>
    <row r="181" spans="1:8" ht="24">
      <c r="A181" s="158" t="s">
        <v>1189</v>
      </c>
      <c r="B181" s="17" t="s">
        <v>184</v>
      </c>
      <c r="C181" s="17" t="s">
        <v>756</v>
      </c>
      <c r="D181" s="17" t="s">
        <v>816</v>
      </c>
      <c r="E181" s="17" t="s">
        <v>1190</v>
      </c>
      <c r="F181" s="19">
        <f>F182</f>
        <v>3</v>
      </c>
      <c r="G181" s="19">
        <f t="shared" si="6"/>
        <v>3</v>
      </c>
      <c r="H181" s="19"/>
    </row>
    <row r="182" spans="1:8" ht="24">
      <c r="A182" s="158" t="s">
        <v>1059</v>
      </c>
      <c r="B182" s="17" t="s">
        <v>184</v>
      </c>
      <c r="C182" s="17" t="s">
        <v>756</v>
      </c>
      <c r="D182" s="17" t="s">
        <v>816</v>
      </c>
      <c r="E182" s="17" t="s">
        <v>1060</v>
      </c>
      <c r="F182" s="20">
        <v>3</v>
      </c>
      <c r="G182" s="19">
        <f t="shared" si="6"/>
        <v>3</v>
      </c>
      <c r="H182" s="19"/>
    </row>
    <row r="183" spans="1:8" ht="48">
      <c r="A183" s="159" t="s">
        <v>757</v>
      </c>
      <c r="B183" s="17" t="s">
        <v>184</v>
      </c>
      <c r="C183" s="17" t="s">
        <v>756</v>
      </c>
      <c r="D183" s="17" t="s">
        <v>751</v>
      </c>
      <c r="E183" s="17"/>
      <c r="F183" s="19">
        <f>F184+F189</f>
        <v>50720.2</v>
      </c>
      <c r="G183" s="19">
        <f t="shared" si="6"/>
        <v>50720.2</v>
      </c>
      <c r="H183" s="19"/>
    </row>
    <row r="184" spans="1:8" ht="36">
      <c r="A184" s="36" t="s">
        <v>459</v>
      </c>
      <c r="B184" s="17" t="s">
        <v>184</v>
      </c>
      <c r="C184" s="17" t="s">
        <v>756</v>
      </c>
      <c r="D184" s="17" t="s">
        <v>752</v>
      </c>
      <c r="E184" s="17" t="s">
        <v>641</v>
      </c>
      <c r="F184" s="19">
        <f>F185</f>
        <v>23561.2</v>
      </c>
      <c r="G184" s="19">
        <f t="shared" si="6"/>
        <v>23561.2</v>
      </c>
      <c r="H184" s="19"/>
    </row>
    <row r="185" spans="1:8" ht="24">
      <c r="A185" s="18" t="s">
        <v>390</v>
      </c>
      <c r="B185" s="17" t="s">
        <v>184</v>
      </c>
      <c r="C185" s="17" t="s">
        <v>756</v>
      </c>
      <c r="D185" s="17" t="s">
        <v>752</v>
      </c>
      <c r="E185" s="17" t="s">
        <v>419</v>
      </c>
      <c r="F185" s="20">
        <f>29729.3-1144+475.9-1364.5+364.5-4000-500</f>
        <v>23561.2</v>
      </c>
      <c r="G185" s="19">
        <f t="shared" si="6"/>
        <v>23561.2</v>
      </c>
      <c r="H185" s="19"/>
    </row>
    <row r="186" spans="1:8" ht="24">
      <c r="A186" s="18" t="s">
        <v>664</v>
      </c>
      <c r="B186" s="17" t="s">
        <v>184</v>
      </c>
      <c r="C186" s="17" t="s">
        <v>756</v>
      </c>
      <c r="D186" s="17" t="s">
        <v>752</v>
      </c>
      <c r="E186" s="17" t="s">
        <v>419</v>
      </c>
      <c r="F186" s="20">
        <v>475.9</v>
      </c>
      <c r="G186" s="19">
        <f t="shared" si="6"/>
        <v>475.9</v>
      </c>
      <c r="H186" s="19"/>
    </row>
    <row r="187" spans="1:8" ht="24">
      <c r="A187" s="18" t="s">
        <v>532</v>
      </c>
      <c r="B187" s="17" t="s">
        <v>184</v>
      </c>
      <c r="C187" s="17" t="s">
        <v>756</v>
      </c>
      <c r="D187" s="17" t="s">
        <v>752</v>
      </c>
      <c r="E187" s="17" t="s">
        <v>419</v>
      </c>
      <c r="F187" s="20">
        <f>364.5+93+570</f>
        <v>1027.5</v>
      </c>
      <c r="G187" s="19">
        <f t="shared" si="6"/>
        <v>1027.5</v>
      </c>
      <c r="H187" s="19"/>
    </row>
    <row r="188" spans="1:8" ht="24">
      <c r="A188" s="18" t="s">
        <v>300</v>
      </c>
      <c r="B188" s="17" t="s">
        <v>184</v>
      </c>
      <c r="C188" s="17" t="s">
        <v>756</v>
      </c>
      <c r="D188" s="17" t="s">
        <v>752</v>
      </c>
      <c r="E188" s="17" t="s">
        <v>419</v>
      </c>
      <c r="F188" s="20">
        <v>537</v>
      </c>
      <c r="G188" s="19">
        <f t="shared" si="6"/>
        <v>537</v>
      </c>
      <c r="H188" s="19"/>
    </row>
    <row r="189" spans="1:8" ht="144">
      <c r="A189" s="298" t="s">
        <v>66</v>
      </c>
      <c r="B189" s="17" t="s">
        <v>184</v>
      </c>
      <c r="C189" s="17" t="s">
        <v>756</v>
      </c>
      <c r="D189" s="17" t="s">
        <v>1437</v>
      </c>
      <c r="E189" s="17" t="s">
        <v>641</v>
      </c>
      <c r="F189" s="297">
        <f>F190</f>
        <v>27159</v>
      </c>
      <c r="G189" s="19">
        <f>G190</f>
        <v>27159</v>
      </c>
      <c r="H189" s="19"/>
    </row>
    <row r="190" spans="1:8" ht="24">
      <c r="A190" s="18" t="s">
        <v>390</v>
      </c>
      <c r="B190" s="17" t="s">
        <v>184</v>
      </c>
      <c r="C190" s="17" t="s">
        <v>756</v>
      </c>
      <c r="D190" s="17" t="s">
        <v>1437</v>
      </c>
      <c r="E190" s="17" t="s">
        <v>419</v>
      </c>
      <c r="F190" s="20">
        <v>27159</v>
      </c>
      <c r="G190" s="19">
        <f>F190</f>
        <v>27159</v>
      </c>
      <c r="H190" s="19"/>
    </row>
    <row r="191" spans="1:8" ht="36">
      <c r="A191" s="18" t="s">
        <v>922</v>
      </c>
      <c r="B191" s="17" t="s">
        <v>184</v>
      </c>
      <c r="C191" s="17" t="s">
        <v>756</v>
      </c>
      <c r="D191" s="17" t="s">
        <v>1437</v>
      </c>
      <c r="E191" s="17" t="s">
        <v>419</v>
      </c>
      <c r="F191" s="20">
        <v>972.5</v>
      </c>
      <c r="G191" s="19">
        <f>F191</f>
        <v>972.5</v>
      </c>
      <c r="H191" s="19"/>
    </row>
    <row r="192" spans="1:8" ht="60">
      <c r="A192" s="36" t="s">
        <v>523</v>
      </c>
      <c r="B192" s="17" t="s">
        <v>184</v>
      </c>
      <c r="C192" s="17" t="s">
        <v>756</v>
      </c>
      <c r="D192" s="17" t="s">
        <v>524</v>
      </c>
      <c r="E192" s="17"/>
      <c r="F192" s="19">
        <f>F193+F202</f>
        <v>37499.799999999996</v>
      </c>
      <c r="G192" s="19">
        <f t="shared" si="6"/>
        <v>37499.799999999996</v>
      </c>
      <c r="H192" s="19"/>
    </row>
    <row r="193" spans="1:8" ht="24">
      <c r="A193" s="18" t="s">
        <v>464</v>
      </c>
      <c r="B193" s="17" t="s">
        <v>184</v>
      </c>
      <c r="C193" s="17" t="s">
        <v>756</v>
      </c>
      <c r="D193" s="17" t="s">
        <v>525</v>
      </c>
      <c r="E193" s="17" t="s">
        <v>1204</v>
      </c>
      <c r="F193" s="19">
        <f>F194+F198</f>
        <v>37496.1</v>
      </c>
      <c r="G193" s="19">
        <f t="shared" si="6"/>
        <v>37496.1</v>
      </c>
      <c r="H193" s="19">
        <f>H195+H199+H202</f>
        <v>0</v>
      </c>
    </row>
    <row r="194" spans="1:8" ht="72">
      <c r="A194" s="158" t="s">
        <v>485</v>
      </c>
      <c r="B194" s="17" t="s">
        <v>184</v>
      </c>
      <c r="C194" s="17" t="s">
        <v>756</v>
      </c>
      <c r="D194" s="17" t="s">
        <v>525</v>
      </c>
      <c r="E194" s="17" t="s">
        <v>21</v>
      </c>
      <c r="F194" s="19">
        <f>F195</f>
        <v>36562.7</v>
      </c>
      <c r="G194" s="19">
        <f t="shared" si="6"/>
        <v>36562.7</v>
      </c>
      <c r="H194" s="19">
        <f>H195</f>
        <v>0</v>
      </c>
    </row>
    <row r="195" spans="1:8" ht="24">
      <c r="A195" s="158" t="s">
        <v>34</v>
      </c>
      <c r="B195" s="17" t="s">
        <v>184</v>
      </c>
      <c r="C195" s="17" t="s">
        <v>756</v>
      </c>
      <c r="D195" s="17" t="s">
        <v>525</v>
      </c>
      <c r="E195" s="17" t="s">
        <v>416</v>
      </c>
      <c r="F195" s="20">
        <f>35782.1+599.5+181.1</f>
        <v>36562.7</v>
      </c>
      <c r="G195" s="19">
        <f t="shared" si="6"/>
        <v>36562.7</v>
      </c>
      <c r="H195" s="19">
        <f>H196+H197</f>
        <v>0</v>
      </c>
    </row>
    <row r="196" spans="1:8" ht="15" hidden="1">
      <c r="A196" s="18" t="s">
        <v>812</v>
      </c>
      <c r="B196" s="17" t="s">
        <v>184</v>
      </c>
      <c r="C196" s="17" t="s">
        <v>756</v>
      </c>
      <c r="D196" s="17" t="s">
        <v>525</v>
      </c>
      <c r="E196" s="17" t="s">
        <v>813</v>
      </c>
      <c r="F196" s="20">
        <v>35781.6</v>
      </c>
      <c r="G196" s="19">
        <f t="shared" si="6"/>
        <v>35781.6</v>
      </c>
      <c r="H196" s="19"/>
    </row>
    <row r="197" spans="1:8" ht="24" hidden="1">
      <c r="A197" s="18" t="s">
        <v>442</v>
      </c>
      <c r="B197" s="17" t="s">
        <v>184</v>
      </c>
      <c r="C197" s="17" t="s">
        <v>756</v>
      </c>
      <c r="D197" s="17" t="s">
        <v>525</v>
      </c>
      <c r="E197" s="17" t="s">
        <v>950</v>
      </c>
      <c r="F197" s="20">
        <v>0.5</v>
      </c>
      <c r="G197" s="19">
        <f t="shared" si="6"/>
        <v>0.5</v>
      </c>
      <c r="H197" s="19"/>
    </row>
    <row r="198" spans="1:8" ht="24">
      <c r="A198" s="129" t="s">
        <v>486</v>
      </c>
      <c r="B198" s="17" t="s">
        <v>184</v>
      </c>
      <c r="C198" s="17" t="s">
        <v>756</v>
      </c>
      <c r="D198" s="17" t="s">
        <v>525</v>
      </c>
      <c r="E198" s="17" t="s">
        <v>402</v>
      </c>
      <c r="F198" s="19">
        <f>F199</f>
        <v>933.4</v>
      </c>
      <c r="G198" s="19">
        <f t="shared" si="6"/>
        <v>933.4</v>
      </c>
      <c r="H198" s="19">
        <f>H199</f>
        <v>0</v>
      </c>
    </row>
    <row r="199" spans="1:8" ht="24">
      <c r="A199" s="158" t="s">
        <v>827</v>
      </c>
      <c r="B199" s="17" t="s">
        <v>184</v>
      </c>
      <c r="C199" s="17" t="s">
        <v>756</v>
      </c>
      <c r="D199" s="17" t="s">
        <v>525</v>
      </c>
      <c r="E199" s="17" t="s">
        <v>1333</v>
      </c>
      <c r="F199" s="20">
        <f>622.1+70-1+234.9+7.4</f>
        <v>933.4</v>
      </c>
      <c r="G199" s="19">
        <f t="shared" si="6"/>
        <v>933.4</v>
      </c>
      <c r="H199" s="19"/>
    </row>
    <row r="200" spans="1:8" ht="36" hidden="1">
      <c r="A200" s="158" t="s">
        <v>1076</v>
      </c>
      <c r="B200" s="17" t="s">
        <v>184</v>
      </c>
      <c r="C200" s="17" t="s">
        <v>756</v>
      </c>
      <c r="D200" s="17" t="s">
        <v>525</v>
      </c>
      <c r="E200" s="17" t="s">
        <v>516</v>
      </c>
      <c r="F200" s="20">
        <v>310</v>
      </c>
      <c r="G200" s="19">
        <f t="shared" si="6"/>
        <v>310</v>
      </c>
      <c r="H200" s="19"/>
    </row>
    <row r="201" spans="1:8" ht="24" hidden="1">
      <c r="A201" s="158" t="s">
        <v>233</v>
      </c>
      <c r="B201" s="17" t="s">
        <v>184</v>
      </c>
      <c r="C201" s="17" t="s">
        <v>756</v>
      </c>
      <c r="D201" s="17" t="s">
        <v>525</v>
      </c>
      <c r="E201" s="17" t="s">
        <v>234</v>
      </c>
      <c r="F201" s="20">
        <v>312.1</v>
      </c>
      <c r="G201" s="19">
        <f t="shared" si="6"/>
        <v>312.1</v>
      </c>
      <c r="H201" s="19"/>
    </row>
    <row r="202" spans="1:8" ht="24">
      <c r="A202" s="158" t="s">
        <v>1189</v>
      </c>
      <c r="B202" s="17" t="s">
        <v>184</v>
      </c>
      <c r="C202" s="17" t="s">
        <v>756</v>
      </c>
      <c r="D202" s="17" t="s">
        <v>526</v>
      </c>
      <c r="E202" s="17" t="s">
        <v>1190</v>
      </c>
      <c r="F202" s="19">
        <f>F203</f>
        <v>3.7</v>
      </c>
      <c r="G202" s="19">
        <f t="shared" si="6"/>
        <v>3.7</v>
      </c>
      <c r="H202" s="19">
        <f>H203</f>
        <v>0</v>
      </c>
    </row>
    <row r="203" spans="1:8" ht="24">
      <c r="A203" s="158" t="s">
        <v>1059</v>
      </c>
      <c r="B203" s="17" t="s">
        <v>184</v>
      </c>
      <c r="C203" s="17" t="s">
        <v>756</v>
      </c>
      <c r="D203" s="17" t="s">
        <v>526</v>
      </c>
      <c r="E203" s="17" t="s">
        <v>1060</v>
      </c>
      <c r="F203" s="20">
        <f>2.7+1</f>
        <v>3.7</v>
      </c>
      <c r="G203" s="19">
        <f t="shared" si="6"/>
        <v>3.7</v>
      </c>
      <c r="H203" s="19">
        <f>H204</f>
        <v>0</v>
      </c>
    </row>
    <row r="204" spans="1:8" ht="24" hidden="1">
      <c r="A204" s="159" t="s">
        <v>819</v>
      </c>
      <c r="B204" s="17" t="s">
        <v>184</v>
      </c>
      <c r="C204" s="17" t="s">
        <v>756</v>
      </c>
      <c r="D204" s="17" t="s">
        <v>526</v>
      </c>
      <c r="E204" s="17" t="s">
        <v>543</v>
      </c>
      <c r="F204" s="20">
        <v>2.7</v>
      </c>
      <c r="G204" s="19">
        <f t="shared" si="6"/>
        <v>2.7</v>
      </c>
      <c r="H204" s="19"/>
    </row>
    <row r="205" spans="1:8" ht="108">
      <c r="A205" s="18" t="s">
        <v>941</v>
      </c>
      <c r="B205" s="17" t="s">
        <v>184</v>
      </c>
      <c r="C205" s="17" t="s">
        <v>756</v>
      </c>
      <c r="D205" s="17" t="s">
        <v>943</v>
      </c>
      <c r="E205" s="17"/>
      <c r="F205" s="19">
        <f>F206+F208+F211+F214+F217</f>
        <v>336636.1</v>
      </c>
      <c r="G205" s="19">
        <f t="shared" si="6"/>
        <v>336636.1</v>
      </c>
      <c r="H205" s="19">
        <f>H206+H208+H211+H214</f>
        <v>0</v>
      </c>
    </row>
    <row r="206" spans="1:8" ht="36" hidden="1">
      <c r="A206" s="158" t="s">
        <v>270</v>
      </c>
      <c r="B206" s="17" t="s">
        <v>184</v>
      </c>
      <c r="C206" s="17" t="s">
        <v>756</v>
      </c>
      <c r="D206" s="17" t="s">
        <v>896</v>
      </c>
      <c r="E206" s="17" t="s">
        <v>312</v>
      </c>
      <c r="F206" s="19">
        <f>F207</f>
        <v>0</v>
      </c>
      <c r="G206" s="19">
        <f t="shared" si="6"/>
        <v>0</v>
      </c>
      <c r="H206" s="19"/>
    </row>
    <row r="207" spans="1:8" ht="48" hidden="1">
      <c r="A207" s="18" t="s">
        <v>1175</v>
      </c>
      <c r="B207" s="17" t="s">
        <v>184</v>
      </c>
      <c r="C207" s="17" t="s">
        <v>756</v>
      </c>
      <c r="D207" s="17" t="s">
        <v>896</v>
      </c>
      <c r="E207" s="17" t="s">
        <v>1174</v>
      </c>
      <c r="F207" s="20">
        <f>93576.2+100000-193576.2</f>
        <v>0</v>
      </c>
      <c r="G207" s="19">
        <f t="shared" si="6"/>
        <v>0</v>
      </c>
      <c r="H207" s="19"/>
    </row>
    <row r="208" spans="1:8" ht="24">
      <c r="A208" s="129" t="s">
        <v>486</v>
      </c>
      <c r="B208" s="17" t="s">
        <v>184</v>
      </c>
      <c r="C208" s="17" t="s">
        <v>756</v>
      </c>
      <c r="D208" s="17" t="s">
        <v>942</v>
      </c>
      <c r="E208" s="17" t="s">
        <v>402</v>
      </c>
      <c r="F208" s="19">
        <f>F209</f>
        <v>248.20000000000005</v>
      </c>
      <c r="G208" s="19">
        <f t="shared" si="6"/>
        <v>248.20000000000005</v>
      </c>
      <c r="H208" s="19">
        <f>H209</f>
        <v>0</v>
      </c>
    </row>
    <row r="209" spans="1:8" ht="24">
      <c r="A209" s="158" t="s">
        <v>827</v>
      </c>
      <c r="B209" s="17" t="s">
        <v>184</v>
      </c>
      <c r="C209" s="17" t="s">
        <v>756</v>
      </c>
      <c r="D209" s="17" t="s">
        <v>942</v>
      </c>
      <c r="E209" s="17" t="s">
        <v>1333</v>
      </c>
      <c r="F209" s="20">
        <f>879.5-59.5-720+487.1-38.9-300</f>
        <v>248.20000000000005</v>
      </c>
      <c r="G209" s="19">
        <f t="shared" si="6"/>
        <v>248.20000000000005</v>
      </c>
      <c r="H209" s="19"/>
    </row>
    <row r="210" spans="1:8" ht="24" hidden="1">
      <c r="A210" s="158" t="s">
        <v>233</v>
      </c>
      <c r="B210" s="17" t="s">
        <v>184</v>
      </c>
      <c r="C210" s="17" t="s">
        <v>756</v>
      </c>
      <c r="D210" s="17" t="s">
        <v>942</v>
      </c>
      <c r="E210" s="17" t="s">
        <v>234</v>
      </c>
      <c r="F210" s="20">
        <f>100+59.5+720</f>
        <v>879.5</v>
      </c>
      <c r="G210" s="19">
        <f t="shared" si="6"/>
        <v>879.5</v>
      </c>
      <c r="H210" s="19"/>
    </row>
    <row r="211" spans="1:8" ht="36" hidden="1">
      <c r="A211" s="158" t="s">
        <v>270</v>
      </c>
      <c r="B211" s="17" t="s">
        <v>184</v>
      </c>
      <c r="C211" s="17" t="s">
        <v>756</v>
      </c>
      <c r="D211" s="17" t="s">
        <v>942</v>
      </c>
      <c r="E211" s="17" t="s">
        <v>312</v>
      </c>
      <c r="F211" s="19">
        <f>F212</f>
        <v>0</v>
      </c>
      <c r="G211" s="19">
        <f t="shared" si="6"/>
        <v>0</v>
      </c>
      <c r="H211" s="19">
        <f>H213</f>
        <v>0</v>
      </c>
    </row>
    <row r="212" spans="1:8" ht="48" hidden="1">
      <c r="A212" s="18" t="s">
        <v>1175</v>
      </c>
      <c r="B212" s="17" t="s">
        <v>184</v>
      </c>
      <c r="C212" s="17" t="s">
        <v>756</v>
      </c>
      <c r="D212" s="17" t="s">
        <v>942</v>
      </c>
      <c r="E212" s="17" t="s">
        <v>1174</v>
      </c>
      <c r="F212" s="20">
        <f>93576.2-93576.2</f>
        <v>0</v>
      </c>
      <c r="G212" s="19">
        <f t="shared" si="6"/>
        <v>0</v>
      </c>
      <c r="H212" s="19"/>
    </row>
    <row r="213" spans="1:8" ht="72" hidden="1">
      <c r="A213" s="18" t="s">
        <v>1482</v>
      </c>
      <c r="B213" s="17" t="s">
        <v>184</v>
      </c>
      <c r="C213" s="17" t="s">
        <v>756</v>
      </c>
      <c r="D213" s="17" t="s">
        <v>942</v>
      </c>
      <c r="E213" s="17" t="s">
        <v>559</v>
      </c>
      <c r="F213" s="20"/>
      <c r="G213" s="19">
        <f t="shared" si="6"/>
        <v>0</v>
      </c>
      <c r="H213" s="19"/>
    </row>
    <row r="214" spans="1:8" ht="24">
      <c r="A214" s="158" t="s">
        <v>827</v>
      </c>
      <c r="B214" s="17" t="s">
        <v>184</v>
      </c>
      <c r="C214" s="17" t="s">
        <v>756</v>
      </c>
      <c r="D214" s="17" t="s">
        <v>7</v>
      </c>
      <c r="E214" s="17" t="s">
        <v>402</v>
      </c>
      <c r="F214" s="19">
        <f>F215</f>
        <v>336345.8</v>
      </c>
      <c r="G214" s="19">
        <f>F214-H214</f>
        <v>336345.8</v>
      </c>
      <c r="H214" s="19"/>
    </row>
    <row r="215" spans="1:8" ht="24">
      <c r="A215" s="158" t="s">
        <v>1362</v>
      </c>
      <c r="B215" s="17" t="s">
        <v>184</v>
      </c>
      <c r="C215" s="17" t="s">
        <v>756</v>
      </c>
      <c r="D215" s="17" t="s">
        <v>7</v>
      </c>
      <c r="E215" s="17" t="s">
        <v>1333</v>
      </c>
      <c r="F215" s="20">
        <f>720+59.5+30000-15+29.2+30000+450+980+16202+2365.5+406.8+47.5+454.7+0.1+26.1+12.8+682.1+500+30000+80000+7000+301.3+682.1+2950+8193.4+16283+2100+6297+90000+12.6+1174+1054+3938.3-200+2273.4+1365.4</f>
        <v>336345.8</v>
      </c>
      <c r="G215" s="19">
        <f>F215-H215</f>
        <v>336345.8</v>
      </c>
      <c r="H215" s="19"/>
    </row>
    <row r="216" spans="1:8" ht="24">
      <c r="A216" s="158" t="s">
        <v>1363</v>
      </c>
      <c r="B216" s="17" t="s">
        <v>184</v>
      </c>
      <c r="C216" s="17" t="s">
        <v>756</v>
      </c>
      <c r="D216" s="17" t="s">
        <v>7</v>
      </c>
      <c r="E216" s="17" t="s">
        <v>1333</v>
      </c>
      <c r="F216" s="20">
        <f>30000+30000+450+980+16202+2365.5+406.8+500+30000+80000+7000+301.3+2950+8193.4+16283+2100+6297+90000+1174+1054+3938.3+2273.4+1365.4</f>
        <v>333834.10000000003</v>
      </c>
      <c r="G216" s="19">
        <f>F216-H216</f>
        <v>333834.10000000003</v>
      </c>
      <c r="H216" s="19"/>
    </row>
    <row r="217" spans="1:8" ht="24">
      <c r="A217" s="158" t="s">
        <v>1189</v>
      </c>
      <c r="B217" s="17" t="s">
        <v>184</v>
      </c>
      <c r="C217" s="17" t="s">
        <v>756</v>
      </c>
      <c r="D217" s="17" t="s">
        <v>7</v>
      </c>
      <c r="E217" s="17" t="s">
        <v>1190</v>
      </c>
      <c r="F217" s="19">
        <f>F218</f>
        <v>42.1</v>
      </c>
      <c r="G217" s="19">
        <f>F217-H217</f>
        <v>42.1</v>
      </c>
      <c r="H217" s="19"/>
    </row>
    <row r="218" spans="1:8" ht="24">
      <c r="A218" s="158" t="s">
        <v>1304</v>
      </c>
      <c r="B218" s="17" t="s">
        <v>184</v>
      </c>
      <c r="C218" s="17" t="s">
        <v>756</v>
      </c>
      <c r="D218" s="17" t="s">
        <v>7</v>
      </c>
      <c r="E218" s="17" t="s">
        <v>1305</v>
      </c>
      <c r="F218" s="20">
        <f>25+15+2.1</f>
        <v>42.1</v>
      </c>
      <c r="G218" s="19">
        <f>F218-H218</f>
        <v>42.1</v>
      </c>
      <c r="H218" s="19"/>
    </row>
    <row r="219" spans="1:8" ht="15" hidden="1">
      <c r="A219" s="24" t="s">
        <v>240</v>
      </c>
      <c r="B219" s="21" t="s">
        <v>1154</v>
      </c>
      <c r="C219" s="17"/>
      <c r="D219" s="17"/>
      <c r="E219" s="17"/>
      <c r="F219" s="79">
        <f aca="true" t="shared" si="7" ref="F219:H221">F220</f>
        <v>0</v>
      </c>
      <c r="G219" s="22">
        <f t="shared" si="7"/>
        <v>0</v>
      </c>
      <c r="H219" s="19">
        <f t="shared" si="7"/>
        <v>0</v>
      </c>
    </row>
    <row r="220" spans="1:8" ht="22.5" hidden="1">
      <c r="A220" s="31" t="s">
        <v>810</v>
      </c>
      <c r="B220" s="17" t="s">
        <v>1154</v>
      </c>
      <c r="C220" s="17" t="s">
        <v>118</v>
      </c>
      <c r="D220" s="17"/>
      <c r="E220" s="17"/>
      <c r="F220" s="19">
        <f t="shared" si="7"/>
        <v>0</v>
      </c>
      <c r="G220" s="19">
        <f t="shared" si="7"/>
        <v>0</v>
      </c>
      <c r="H220" s="19">
        <f t="shared" si="7"/>
        <v>0</v>
      </c>
    </row>
    <row r="221" spans="1:8" ht="24" hidden="1">
      <c r="A221" s="32" t="s">
        <v>241</v>
      </c>
      <c r="B221" s="17" t="s">
        <v>1154</v>
      </c>
      <c r="C221" s="17" t="s">
        <v>118</v>
      </c>
      <c r="D221" s="17" t="s">
        <v>242</v>
      </c>
      <c r="E221" s="17"/>
      <c r="F221" s="19">
        <f t="shared" si="7"/>
        <v>0</v>
      </c>
      <c r="G221" s="19">
        <f t="shared" si="7"/>
        <v>0</v>
      </c>
      <c r="H221" s="19">
        <f t="shared" si="7"/>
        <v>0</v>
      </c>
    </row>
    <row r="222" spans="1:8" ht="24" hidden="1">
      <c r="A222" s="18" t="s">
        <v>1101</v>
      </c>
      <c r="B222" s="17" t="s">
        <v>1154</v>
      </c>
      <c r="C222" s="17" t="s">
        <v>118</v>
      </c>
      <c r="D222" s="17" t="s">
        <v>811</v>
      </c>
      <c r="E222" s="17" t="s">
        <v>1204</v>
      </c>
      <c r="F222" s="19">
        <f>F223</f>
        <v>0</v>
      </c>
      <c r="G222" s="19">
        <f aca="true" t="shared" si="8" ref="G222:G232">F222-H222</f>
        <v>0</v>
      </c>
      <c r="H222" s="19"/>
    </row>
    <row r="223" spans="1:8" ht="24" hidden="1">
      <c r="A223" s="158" t="s">
        <v>471</v>
      </c>
      <c r="B223" s="17" t="s">
        <v>1154</v>
      </c>
      <c r="C223" s="17" t="s">
        <v>118</v>
      </c>
      <c r="D223" s="17" t="s">
        <v>811</v>
      </c>
      <c r="E223" s="17" t="s">
        <v>1333</v>
      </c>
      <c r="F223" s="19">
        <f>F224</f>
        <v>0</v>
      </c>
      <c r="G223" s="19">
        <f t="shared" si="8"/>
        <v>0</v>
      </c>
      <c r="H223" s="19"/>
    </row>
    <row r="224" spans="1:8" ht="24" hidden="1">
      <c r="A224" s="158" t="s">
        <v>233</v>
      </c>
      <c r="B224" s="17" t="s">
        <v>1154</v>
      </c>
      <c r="C224" s="17" t="s">
        <v>118</v>
      </c>
      <c r="D224" s="17" t="s">
        <v>811</v>
      </c>
      <c r="E224" s="17" t="s">
        <v>234</v>
      </c>
      <c r="F224" s="20"/>
      <c r="G224" s="19">
        <f t="shared" si="8"/>
        <v>0</v>
      </c>
      <c r="H224" s="19"/>
    </row>
    <row r="225" spans="1:8" ht="38.25">
      <c r="A225" s="24" t="s">
        <v>1332</v>
      </c>
      <c r="B225" s="21" t="s">
        <v>1340</v>
      </c>
      <c r="C225" s="17"/>
      <c r="D225" s="17"/>
      <c r="E225" s="17"/>
      <c r="F225" s="22">
        <f>F226+F251+F255</f>
        <v>22422.6</v>
      </c>
      <c r="G225" s="22">
        <f t="shared" si="8"/>
        <v>22422.6</v>
      </c>
      <c r="H225" s="22">
        <f>H226+H251+H255</f>
        <v>0</v>
      </c>
    </row>
    <row r="226" spans="1:8" ht="48">
      <c r="A226" s="31" t="s">
        <v>269</v>
      </c>
      <c r="B226" s="17" t="s">
        <v>1340</v>
      </c>
      <c r="C226" s="17" t="s">
        <v>1339</v>
      </c>
      <c r="D226" s="17"/>
      <c r="E226" s="17"/>
      <c r="F226" s="19">
        <f>F227</f>
        <v>12962</v>
      </c>
      <c r="G226" s="19">
        <f t="shared" si="8"/>
        <v>12962</v>
      </c>
      <c r="H226" s="19">
        <f>H227+H233</f>
        <v>0</v>
      </c>
    </row>
    <row r="227" spans="1:8" ht="36">
      <c r="A227" s="32" t="s">
        <v>1160</v>
      </c>
      <c r="B227" s="17" t="s">
        <v>1340</v>
      </c>
      <c r="C227" s="17" t="s">
        <v>1339</v>
      </c>
      <c r="D227" s="17" t="s">
        <v>369</v>
      </c>
      <c r="E227" s="17"/>
      <c r="F227" s="19">
        <f>F228+F240+F245</f>
        <v>12962</v>
      </c>
      <c r="G227" s="19">
        <f t="shared" si="8"/>
        <v>12962</v>
      </c>
      <c r="H227" s="19">
        <f>H229</f>
        <v>0</v>
      </c>
    </row>
    <row r="228" spans="1:8" ht="60">
      <c r="A228" s="36" t="s">
        <v>450</v>
      </c>
      <c r="B228" s="17" t="s">
        <v>1340</v>
      </c>
      <c r="C228" s="17" t="s">
        <v>1339</v>
      </c>
      <c r="D228" s="17" t="s">
        <v>370</v>
      </c>
      <c r="E228" s="17"/>
      <c r="F228" s="19">
        <f>F229+F233</f>
        <v>342</v>
      </c>
      <c r="G228" s="19">
        <f t="shared" si="8"/>
        <v>342</v>
      </c>
      <c r="H228" s="19"/>
    </row>
    <row r="229" spans="1:8" ht="48.75" customHeight="1">
      <c r="A229" s="18" t="s">
        <v>755</v>
      </c>
      <c r="B229" s="17" t="s">
        <v>1340</v>
      </c>
      <c r="C229" s="17" t="s">
        <v>1339</v>
      </c>
      <c r="D229" s="17" t="s">
        <v>371</v>
      </c>
      <c r="E229" s="17" t="s">
        <v>1204</v>
      </c>
      <c r="F229" s="19">
        <f>F231</f>
        <v>211</v>
      </c>
      <c r="G229" s="19">
        <f t="shared" si="8"/>
        <v>211</v>
      </c>
      <c r="H229" s="19"/>
    </row>
    <row r="230" spans="1:8" ht="27.75" customHeight="1">
      <c r="A230" s="129" t="s">
        <v>486</v>
      </c>
      <c r="B230" s="17" t="s">
        <v>1340</v>
      </c>
      <c r="C230" s="17" t="s">
        <v>1339</v>
      </c>
      <c r="D230" s="17" t="s">
        <v>371</v>
      </c>
      <c r="E230" s="17" t="s">
        <v>402</v>
      </c>
      <c r="F230" s="19">
        <f>F231</f>
        <v>211</v>
      </c>
      <c r="G230" s="19">
        <f t="shared" si="8"/>
        <v>211</v>
      </c>
      <c r="H230" s="19">
        <f>H231</f>
        <v>0</v>
      </c>
    </row>
    <row r="231" spans="1:8" ht="26.25" customHeight="1">
      <c r="A231" s="158" t="s">
        <v>471</v>
      </c>
      <c r="B231" s="17" t="s">
        <v>1340</v>
      </c>
      <c r="C231" s="17" t="s">
        <v>1339</v>
      </c>
      <c r="D231" s="17" t="s">
        <v>371</v>
      </c>
      <c r="E231" s="17" t="s">
        <v>1333</v>
      </c>
      <c r="F231" s="20">
        <v>211</v>
      </c>
      <c r="G231" s="19">
        <f t="shared" si="8"/>
        <v>211</v>
      </c>
      <c r="H231" s="19"/>
    </row>
    <row r="232" spans="1:8" ht="26.25" customHeight="1" hidden="1">
      <c r="A232" s="158" t="s">
        <v>233</v>
      </c>
      <c r="B232" s="17" t="s">
        <v>1340</v>
      </c>
      <c r="C232" s="17" t="s">
        <v>1339</v>
      </c>
      <c r="D232" s="17" t="s">
        <v>371</v>
      </c>
      <c r="E232" s="17" t="s">
        <v>234</v>
      </c>
      <c r="F232" s="20">
        <v>211</v>
      </c>
      <c r="G232" s="19">
        <f t="shared" si="8"/>
        <v>211</v>
      </c>
      <c r="H232" s="19"/>
    </row>
    <row r="233" spans="1:8" ht="15">
      <c r="A233" s="36" t="s">
        <v>117</v>
      </c>
      <c r="B233" s="17" t="s">
        <v>1340</v>
      </c>
      <c r="C233" s="17" t="s">
        <v>1339</v>
      </c>
      <c r="D233" s="17" t="s">
        <v>372</v>
      </c>
      <c r="E233" s="17"/>
      <c r="F233" s="19">
        <f>F234</f>
        <v>131</v>
      </c>
      <c r="G233" s="19">
        <f>G234</f>
        <v>131</v>
      </c>
      <c r="H233" s="19">
        <f>H234</f>
        <v>0</v>
      </c>
    </row>
    <row r="234" spans="1:8" ht="36">
      <c r="A234" s="18" t="s">
        <v>330</v>
      </c>
      <c r="B234" s="17" t="s">
        <v>1340</v>
      </c>
      <c r="C234" s="17" t="s">
        <v>1339</v>
      </c>
      <c r="D234" s="17" t="s">
        <v>372</v>
      </c>
      <c r="E234" s="17" t="s">
        <v>1204</v>
      </c>
      <c r="F234" s="19">
        <f>F236+F238</f>
        <v>131</v>
      </c>
      <c r="G234" s="19">
        <f aca="true" t="shared" si="9" ref="G234:G261">F234-H234</f>
        <v>131</v>
      </c>
      <c r="H234" s="19">
        <f>H236+H238</f>
        <v>0</v>
      </c>
    </row>
    <row r="235" spans="1:8" ht="24">
      <c r="A235" s="129" t="s">
        <v>486</v>
      </c>
      <c r="B235" s="17" t="s">
        <v>1340</v>
      </c>
      <c r="C235" s="17" t="s">
        <v>1339</v>
      </c>
      <c r="D235" s="17" t="s">
        <v>372</v>
      </c>
      <c r="E235" s="17" t="s">
        <v>402</v>
      </c>
      <c r="F235" s="19">
        <f>F236</f>
        <v>52.5</v>
      </c>
      <c r="G235" s="19">
        <f t="shared" si="9"/>
        <v>52.5</v>
      </c>
      <c r="H235" s="19">
        <f>H236</f>
        <v>0</v>
      </c>
    </row>
    <row r="236" spans="1:8" ht="24">
      <c r="A236" s="158" t="s">
        <v>471</v>
      </c>
      <c r="B236" s="17" t="s">
        <v>1340</v>
      </c>
      <c r="C236" s="17" t="s">
        <v>1339</v>
      </c>
      <c r="D236" s="17" t="s">
        <v>372</v>
      </c>
      <c r="E236" s="17" t="s">
        <v>1333</v>
      </c>
      <c r="F236" s="20">
        <f>F237</f>
        <v>52.5</v>
      </c>
      <c r="G236" s="19">
        <f t="shared" si="9"/>
        <v>52.5</v>
      </c>
      <c r="H236" s="19"/>
    </row>
    <row r="237" spans="1:8" ht="24" hidden="1">
      <c r="A237" s="158" t="s">
        <v>233</v>
      </c>
      <c r="B237" s="17" t="s">
        <v>1340</v>
      </c>
      <c r="C237" s="17" t="s">
        <v>1339</v>
      </c>
      <c r="D237" s="17" t="s">
        <v>372</v>
      </c>
      <c r="E237" s="17" t="s">
        <v>234</v>
      </c>
      <c r="F237" s="20">
        <v>52.5</v>
      </c>
      <c r="G237" s="19">
        <f t="shared" si="9"/>
        <v>52.5</v>
      </c>
      <c r="H237" s="19"/>
    </row>
    <row r="238" spans="1:8" ht="24">
      <c r="A238" s="158" t="s">
        <v>1189</v>
      </c>
      <c r="B238" s="17" t="s">
        <v>1340</v>
      </c>
      <c r="C238" s="17" t="s">
        <v>1339</v>
      </c>
      <c r="D238" s="17" t="s">
        <v>372</v>
      </c>
      <c r="E238" s="17" t="s">
        <v>1190</v>
      </c>
      <c r="F238" s="19">
        <f>F239</f>
        <v>78.5</v>
      </c>
      <c r="G238" s="19">
        <f t="shared" si="9"/>
        <v>78.5</v>
      </c>
      <c r="H238" s="19">
        <f>H239</f>
        <v>0</v>
      </c>
    </row>
    <row r="239" spans="1:8" ht="24">
      <c r="A239" s="18" t="s">
        <v>1191</v>
      </c>
      <c r="B239" s="17" t="s">
        <v>1340</v>
      </c>
      <c r="C239" s="17" t="s">
        <v>1339</v>
      </c>
      <c r="D239" s="17" t="s">
        <v>372</v>
      </c>
      <c r="E239" s="17" t="s">
        <v>1192</v>
      </c>
      <c r="F239" s="20">
        <v>78.5</v>
      </c>
      <c r="G239" s="19">
        <f t="shared" si="9"/>
        <v>78.5</v>
      </c>
      <c r="H239" s="19"/>
    </row>
    <row r="240" spans="1:8" ht="48">
      <c r="A240" s="36" t="s">
        <v>373</v>
      </c>
      <c r="B240" s="17" t="s">
        <v>1340</v>
      </c>
      <c r="C240" s="17" t="s">
        <v>1339</v>
      </c>
      <c r="D240" s="17" t="s">
        <v>374</v>
      </c>
      <c r="E240" s="17"/>
      <c r="F240" s="19">
        <f>F241</f>
        <v>11970</v>
      </c>
      <c r="G240" s="19">
        <f t="shared" si="9"/>
        <v>11970</v>
      </c>
      <c r="H240" s="19"/>
    </row>
    <row r="241" spans="1:8" ht="36">
      <c r="A241" s="18" t="s">
        <v>375</v>
      </c>
      <c r="B241" s="17" t="s">
        <v>1340</v>
      </c>
      <c r="C241" s="17" t="s">
        <v>1339</v>
      </c>
      <c r="D241" s="17" t="s">
        <v>376</v>
      </c>
      <c r="E241" s="17" t="s">
        <v>1204</v>
      </c>
      <c r="F241" s="19">
        <f>F243</f>
        <v>11970</v>
      </c>
      <c r="G241" s="19">
        <f t="shared" si="9"/>
        <v>11970</v>
      </c>
      <c r="H241" s="19"/>
    </row>
    <row r="242" spans="1:8" ht="24">
      <c r="A242" s="129" t="s">
        <v>486</v>
      </c>
      <c r="B242" s="17" t="s">
        <v>1340</v>
      </c>
      <c r="C242" s="17" t="s">
        <v>1339</v>
      </c>
      <c r="D242" s="17" t="s">
        <v>376</v>
      </c>
      <c r="E242" s="17" t="s">
        <v>402</v>
      </c>
      <c r="F242" s="19">
        <f>F243</f>
        <v>11970</v>
      </c>
      <c r="G242" s="19">
        <f t="shared" si="9"/>
        <v>11970</v>
      </c>
      <c r="H242" s="19">
        <f>H243</f>
        <v>0</v>
      </c>
    </row>
    <row r="243" spans="1:8" ht="24">
      <c r="A243" s="158" t="s">
        <v>471</v>
      </c>
      <c r="B243" s="17" t="s">
        <v>1340</v>
      </c>
      <c r="C243" s="17" t="s">
        <v>1339</v>
      </c>
      <c r="D243" s="17" t="s">
        <v>376</v>
      </c>
      <c r="E243" s="17" t="s">
        <v>1333</v>
      </c>
      <c r="F243" s="20">
        <f>7030+6300-1360</f>
        <v>11970</v>
      </c>
      <c r="G243" s="19">
        <f t="shared" si="9"/>
        <v>11970</v>
      </c>
      <c r="H243" s="19"/>
    </row>
    <row r="244" spans="1:8" ht="24" hidden="1">
      <c r="A244" s="158" t="s">
        <v>233</v>
      </c>
      <c r="B244" s="17" t="s">
        <v>1340</v>
      </c>
      <c r="C244" s="17" t="s">
        <v>1339</v>
      </c>
      <c r="D244" s="17" t="s">
        <v>376</v>
      </c>
      <c r="E244" s="17" t="s">
        <v>234</v>
      </c>
      <c r="F244" s="20">
        <v>7030</v>
      </c>
      <c r="G244" s="19">
        <f t="shared" si="9"/>
        <v>7030</v>
      </c>
      <c r="H244" s="19"/>
    </row>
    <row r="245" spans="1:8" ht="48">
      <c r="A245" s="158" t="s">
        <v>377</v>
      </c>
      <c r="B245" s="17" t="s">
        <v>1340</v>
      </c>
      <c r="C245" s="17" t="s">
        <v>1339</v>
      </c>
      <c r="D245" s="17" t="s">
        <v>378</v>
      </c>
      <c r="E245" s="17"/>
      <c r="F245" s="19">
        <f>F247+F249</f>
        <v>650</v>
      </c>
      <c r="G245" s="19">
        <f t="shared" si="9"/>
        <v>650</v>
      </c>
      <c r="H245" s="19">
        <f>H247+H249</f>
        <v>0</v>
      </c>
    </row>
    <row r="246" spans="1:8" ht="24">
      <c r="A246" s="129" t="s">
        <v>486</v>
      </c>
      <c r="B246" s="17" t="s">
        <v>1340</v>
      </c>
      <c r="C246" s="17" t="s">
        <v>1339</v>
      </c>
      <c r="D246" s="17" t="s">
        <v>379</v>
      </c>
      <c r="E246" s="17" t="s">
        <v>402</v>
      </c>
      <c r="F246" s="19">
        <f>F247</f>
        <v>200</v>
      </c>
      <c r="G246" s="19">
        <f t="shared" si="9"/>
        <v>200</v>
      </c>
      <c r="H246" s="19">
        <f>H247</f>
        <v>0</v>
      </c>
    </row>
    <row r="247" spans="1:8" ht="24">
      <c r="A247" s="158" t="s">
        <v>471</v>
      </c>
      <c r="B247" s="17" t="s">
        <v>1340</v>
      </c>
      <c r="C247" s="17" t="s">
        <v>1339</v>
      </c>
      <c r="D247" s="17" t="s">
        <v>379</v>
      </c>
      <c r="E247" s="17" t="s">
        <v>1333</v>
      </c>
      <c r="F247" s="20">
        <v>200</v>
      </c>
      <c r="G247" s="19">
        <f t="shared" si="9"/>
        <v>200</v>
      </c>
      <c r="H247" s="19">
        <f>H248</f>
        <v>0</v>
      </c>
    </row>
    <row r="248" spans="1:8" ht="24" hidden="1">
      <c r="A248" s="158" t="s">
        <v>233</v>
      </c>
      <c r="B248" s="17" t="s">
        <v>1340</v>
      </c>
      <c r="C248" s="17" t="s">
        <v>1339</v>
      </c>
      <c r="D248" s="17" t="s">
        <v>379</v>
      </c>
      <c r="E248" s="17" t="s">
        <v>234</v>
      </c>
      <c r="F248" s="20">
        <v>200</v>
      </c>
      <c r="G248" s="19">
        <f t="shared" si="9"/>
        <v>200</v>
      </c>
      <c r="H248" s="19"/>
    </row>
    <row r="249" spans="1:8" ht="24">
      <c r="A249" s="158" t="s">
        <v>1189</v>
      </c>
      <c r="B249" s="17" t="s">
        <v>1340</v>
      </c>
      <c r="C249" s="17" t="s">
        <v>1339</v>
      </c>
      <c r="D249" s="17" t="s">
        <v>379</v>
      </c>
      <c r="E249" s="17" t="s">
        <v>1190</v>
      </c>
      <c r="F249" s="19">
        <f>F250</f>
        <v>450</v>
      </c>
      <c r="G249" s="19">
        <f t="shared" si="9"/>
        <v>450</v>
      </c>
      <c r="H249" s="19">
        <f>H250</f>
        <v>0</v>
      </c>
    </row>
    <row r="250" spans="1:8" ht="24">
      <c r="A250" s="18" t="s">
        <v>1191</v>
      </c>
      <c r="B250" s="17" t="s">
        <v>1340</v>
      </c>
      <c r="C250" s="17" t="s">
        <v>1339</v>
      </c>
      <c r="D250" s="17" t="s">
        <v>379</v>
      </c>
      <c r="E250" s="17" t="s">
        <v>1192</v>
      </c>
      <c r="F250" s="20">
        <f>400+50</f>
        <v>450</v>
      </c>
      <c r="G250" s="19">
        <f t="shared" si="9"/>
        <v>450</v>
      </c>
      <c r="H250" s="19"/>
    </row>
    <row r="251" spans="1:8" ht="15" hidden="1">
      <c r="A251" s="31" t="s">
        <v>1219</v>
      </c>
      <c r="B251" s="17" t="s">
        <v>1340</v>
      </c>
      <c r="C251" s="17" t="s">
        <v>1337</v>
      </c>
      <c r="D251" s="17"/>
      <c r="E251" s="17"/>
      <c r="F251" s="19">
        <f aca="true" t="shared" si="10" ref="F251:H252">F252</f>
        <v>0</v>
      </c>
      <c r="G251" s="19">
        <f t="shared" si="9"/>
        <v>0</v>
      </c>
      <c r="H251" s="19">
        <f t="shared" si="10"/>
        <v>0</v>
      </c>
    </row>
    <row r="252" spans="1:8" ht="36" hidden="1">
      <c r="A252" s="32" t="s">
        <v>1220</v>
      </c>
      <c r="B252" s="17" t="s">
        <v>1340</v>
      </c>
      <c r="C252" s="17" t="s">
        <v>1337</v>
      </c>
      <c r="D252" s="17" t="s">
        <v>461</v>
      </c>
      <c r="E252" s="17"/>
      <c r="F252" s="19">
        <f t="shared" si="10"/>
        <v>0</v>
      </c>
      <c r="G252" s="19">
        <f t="shared" si="9"/>
        <v>0</v>
      </c>
      <c r="H252" s="19">
        <f t="shared" si="10"/>
        <v>0</v>
      </c>
    </row>
    <row r="253" spans="1:8" ht="24" hidden="1">
      <c r="A253" s="18" t="s">
        <v>1347</v>
      </c>
      <c r="B253" s="17" t="s">
        <v>1340</v>
      </c>
      <c r="C253" s="17" t="s">
        <v>1337</v>
      </c>
      <c r="D253" s="17" t="s">
        <v>1221</v>
      </c>
      <c r="E253" s="17" t="s">
        <v>1204</v>
      </c>
      <c r="F253" s="19">
        <f>F254</f>
        <v>0</v>
      </c>
      <c r="G253" s="19">
        <f t="shared" si="9"/>
        <v>0</v>
      </c>
      <c r="H253" s="19"/>
    </row>
    <row r="254" spans="1:8" ht="24" hidden="1">
      <c r="A254" s="18" t="s">
        <v>808</v>
      </c>
      <c r="B254" s="17" t="s">
        <v>1340</v>
      </c>
      <c r="C254" s="17" t="s">
        <v>1337</v>
      </c>
      <c r="D254" s="17" t="s">
        <v>1221</v>
      </c>
      <c r="E254" s="17" t="s">
        <v>809</v>
      </c>
      <c r="F254" s="20"/>
      <c r="G254" s="19">
        <f t="shared" si="9"/>
        <v>0</v>
      </c>
      <c r="H254" s="19"/>
    </row>
    <row r="255" spans="1:8" ht="36">
      <c r="A255" s="31" t="s">
        <v>47</v>
      </c>
      <c r="B255" s="17" t="s">
        <v>1340</v>
      </c>
      <c r="C255" s="17" t="s">
        <v>191</v>
      </c>
      <c r="D255" s="17"/>
      <c r="E255" s="17"/>
      <c r="F255" s="19">
        <f>F256+F262</f>
        <v>9460.6</v>
      </c>
      <c r="G255" s="19">
        <f t="shared" si="9"/>
        <v>9460.6</v>
      </c>
      <c r="H255" s="19">
        <f>H257</f>
        <v>0</v>
      </c>
    </row>
    <row r="256" spans="1:8" ht="36">
      <c r="A256" s="33" t="s">
        <v>271</v>
      </c>
      <c r="B256" s="17" t="s">
        <v>1340</v>
      </c>
      <c r="C256" s="17" t="s">
        <v>191</v>
      </c>
      <c r="D256" s="17" t="s">
        <v>369</v>
      </c>
      <c r="E256" s="17"/>
      <c r="F256" s="19">
        <f>F257</f>
        <v>1884</v>
      </c>
      <c r="G256" s="19">
        <f t="shared" si="9"/>
        <v>1884</v>
      </c>
      <c r="H256" s="19"/>
    </row>
    <row r="257" spans="1:8" ht="36">
      <c r="A257" s="36" t="s">
        <v>711</v>
      </c>
      <c r="B257" s="17" t="s">
        <v>1340</v>
      </c>
      <c r="C257" s="17" t="s">
        <v>191</v>
      </c>
      <c r="D257" s="17" t="s">
        <v>712</v>
      </c>
      <c r="E257" s="17"/>
      <c r="F257" s="19">
        <f>F258</f>
        <v>1884</v>
      </c>
      <c r="G257" s="19">
        <f t="shared" si="9"/>
        <v>1884</v>
      </c>
      <c r="H257" s="19">
        <f>H259</f>
        <v>0</v>
      </c>
    </row>
    <row r="258" spans="1:8" ht="24">
      <c r="A258" s="158" t="s">
        <v>486</v>
      </c>
      <c r="B258" s="17" t="s">
        <v>1340</v>
      </c>
      <c r="C258" s="17" t="s">
        <v>191</v>
      </c>
      <c r="D258" s="17" t="s">
        <v>1380</v>
      </c>
      <c r="E258" s="17" t="s">
        <v>402</v>
      </c>
      <c r="F258" s="19">
        <f>F259</f>
        <v>1884</v>
      </c>
      <c r="G258" s="19">
        <f t="shared" si="9"/>
        <v>1884</v>
      </c>
      <c r="H258" s="19"/>
    </row>
    <row r="259" spans="1:8" ht="24">
      <c r="A259" s="158" t="s">
        <v>827</v>
      </c>
      <c r="B259" s="17" t="s">
        <v>1340</v>
      </c>
      <c r="C259" s="17" t="s">
        <v>191</v>
      </c>
      <c r="D259" s="17" t="s">
        <v>1380</v>
      </c>
      <c r="E259" s="17" t="s">
        <v>1333</v>
      </c>
      <c r="F259" s="20">
        <f>2084-200</f>
        <v>1884</v>
      </c>
      <c r="G259" s="19">
        <f t="shared" si="9"/>
        <v>1884</v>
      </c>
      <c r="H259" s="19"/>
    </row>
    <row r="260" spans="1:8" ht="36" hidden="1">
      <c r="A260" s="158" t="s">
        <v>814</v>
      </c>
      <c r="B260" s="17" t="s">
        <v>1340</v>
      </c>
      <c r="C260" s="17" t="s">
        <v>191</v>
      </c>
      <c r="D260" s="17" t="s">
        <v>1380</v>
      </c>
      <c r="E260" s="17" t="s">
        <v>465</v>
      </c>
      <c r="F260" s="20">
        <v>1584</v>
      </c>
      <c r="G260" s="19">
        <f t="shared" si="9"/>
        <v>1584</v>
      </c>
      <c r="H260" s="19"/>
    </row>
    <row r="261" spans="1:8" ht="24" hidden="1">
      <c r="A261" s="158" t="s">
        <v>233</v>
      </c>
      <c r="B261" s="17" t="s">
        <v>1340</v>
      </c>
      <c r="C261" s="17" t="s">
        <v>191</v>
      </c>
      <c r="D261" s="17" t="s">
        <v>1380</v>
      </c>
      <c r="E261" s="17" t="s">
        <v>234</v>
      </c>
      <c r="F261" s="20">
        <v>500</v>
      </c>
      <c r="G261" s="19">
        <f t="shared" si="9"/>
        <v>500</v>
      </c>
      <c r="H261" s="19"/>
    </row>
    <row r="262" spans="1:8" ht="48">
      <c r="A262" s="29" t="s">
        <v>1289</v>
      </c>
      <c r="B262" s="17" t="s">
        <v>1340</v>
      </c>
      <c r="C262" s="17" t="s">
        <v>191</v>
      </c>
      <c r="D262" s="17" t="s">
        <v>1290</v>
      </c>
      <c r="E262" s="17" t="s">
        <v>1204</v>
      </c>
      <c r="F262" s="19">
        <f>F263+F266</f>
        <v>7576.6</v>
      </c>
      <c r="G262" s="19">
        <f aca="true" t="shared" si="11" ref="G262:G267">F262-H262</f>
        <v>7576.6</v>
      </c>
      <c r="H262" s="19">
        <f>H264+H266</f>
        <v>0</v>
      </c>
    </row>
    <row r="263" spans="1:8" ht="24">
      <c r="A263" s="158" t="s">
        <v>486</v>
      </c>
      <c r="B263" s="17" t="s">
        <v>1340</v>
      </c>
      <c r="C263" s="17" t="s">
        <v>191</v>
      </c>
      <c r="D263" s="17" t="s">
        <v>1291</v>
      </c>
      <c r="E263" s="17" t="s">
        <v>402</v>
      </c>
      <c r="F263" s="19">
        <f>F264</f>
        <v>6376.6</v>
      </c>
      <c r="G263" s="19">
        <f t="shared" si="11"/>
        <v>6376.6</v>
      </c>
      <c r="H263" s="19"/>
    </row>
    <row r="264" spans="1:8" ht="24">
      <c r="A264" s="158" t="s">
        <v>827</v>
      </c>
      <c r="B264" s="17" t="s">
        <v>1340</v>
      </c>
      <c r="C264" s="17" t="s">
        <v>191</v>
      </c>
      <c r="D264" s="17" t="s">
        <v>1291</v>
      </c>
      <c r="E264" s="17" t="s">
        <v>1333</v>
      </c>
      <c r="F264" s="20">
        <f>4517.5+1121.5+1537.6-800</f>
        <v>6376.6</v>
      </c>
      <c r="G264" s="19">
        <f t="shared" si="11"/>
        <v>6376.6</v>
      </c>
      <c r="H264" s="19"/>
    </row>
    <row r="265" spans="1:8" ht="24" hidden="1">
      <c r="A265" s="158" t="s">
        <v>233</v>
      </c>
      <c r="B265" s="17" t="s">
        <v>1340</v>
      </c>
      <c r="C265" s="17" t="s">
        <v>191</v>
      </c>
      <c r="D265" s="17" t="s">
        <v>1291</v>
      </c>
      <c r="E265" s="17" t="s">
        <v>234</v>
      </c>
      <c r="F265" s="20">
        <v>4517.5</v>
      </c>
      <c r="G265" s="19">
        <f t="shared" si="11"/>
        <v>4517.5</v>
      </c>
      <c r="H265" s="19"/>
    </row>
    <row r="266" spans="1:8" ht="24">
      <c r="A266" s="158" t="s">
        <v>1189</v>
      </c>
      <c r="B266" s="17" t="s">
        <v>1340</v>
      </c>
      <c r="C266" s="17" t="s">
        <v>191</v>
      </c>
      <c r="D266" s="17" t="s">
        <v>1291</v>
      </c>
      <c r="E266" s="17" t="s">
        <v>1190</v>
      </c>
      <c r="F266" s="19">
        <f>F267</f>
        <v>1200</v>
      </c>
      <c r="G266" s="19">
        <f t="shared" si="11"/>
        <v>1200</v>
      </c>
      <c r="H266" s="19">
        <f>H267</f>
        <v>0</v>
      </c>
    </row>
    <row r="267" spans="1:8" ht="24">
      <c r="A267" s="18" t="s">
        <v>1191</v>
      </c>
      <c r="B267" s="17" t="s">
        <v>1340</v>
      </c>
      <c r="C267" s="17" t="s">
        <v>191</v>
      </c>
      <c r="D267" s="17" t="s">
        <v>1291</v>
      </c>
      <c r="E267" s="17" t="s">
        <v>1192</v>
      </c>
      <c r="F267" s="20">
        <v>1200</v>
      </c>
      <c r="G267" s="19">
        <f t="shared" si="11"/>
        <v>1200</v>
      </c>
      <c r="H267" s="19"/>
    </row>
    <row r="268" spans="1:8" ht="23.25" customHeight="1">
      <c r="A268" s="24" t="s">
        <v>991</v>
      </c>
      <c r="B268" s="23" t="s">
        <v>118</v>
      </c>
      <c r="C268" s="23"/>
      <c r="D268" s="27"/>
      <c r="E268" s="27"/>
      <c r="F268" s="2">
        <f>F269+F277++F295+F311+F327</f>
        <v>380605</v>
      </c>
      <c r="G268" s="2">
        <f>G269+G277++G295+G311+G327</f>
        <v>380605</v>
      </c>
      <c r="H268" s="2">
        <f>H269+H277++H295+H311+H327</f>
        <v>0</v>
      </c>
    </row>
    <row r="269" spans="1:8" ht="15">
      <c r="A269" s="78" t="s">
        <v>115</v>
      </c>
      <c r="B269" s="34" t="s">
        <v>118</v>
      </c>
      <c r="C269" s="34" t="s">
        <v>1338</v>
      </c>
      <c r="D269" s="27"/>
      <c r="E269" s="27"/>
      <c r="F269" s="19">
        <f>F272</f>
        <v>2500</v>
      </c>
      <c r="G269" s="19">
        <f>F269-H269</f>
        <v>2500</v>
      </c>
      <c r="H269" s="30"/>
    </row>
    <row r="270" spans="1:8" ht="36">
      <c r="A270" s="33" t="s">
        <v>1036</v>
      </c>
      <c r="B270" s="34" t="s">
        <v>118</v>
      </c>
      <c r="C270" s="34" t="s">
        <v>1338</v>
      </c>
      <c r="D270" s="27" t="s">
        <v>1293</v>
      </c>
      <c r="E270" s="27"/>
      <c r="F270" s="19">
        <f>F271</f>
        <v>2500</v>
      </c>
      <c r="G270" s="19">
        <f aca="true" t="shared" si="12" ref="G270:G280">F270-H270</f>
        <v>2500</v>
      </c>
      <c r="H270" s="30"/>
    </row>
    <row r="271" spans="1:8" ht="36">
      <c r="A271" s="36" t="s">
        <v>1292</v>
      </c>
      <c r="B271" s="34" t="s">
        <v>118</v>
      </c>
      <c r="C271" s="34" t="s">
        <v>1338</v>
      </c>
      <c r="D271" s="27" t="s">
        <v>1294</v>
      </c>
      <c r="E271" s="27"/>
      <c r="F271" s="19">
        <f>F272</f>
        <v>2500</v>
      </c>
      <c r="G271" s="19">
        <f t="shared" si="12"/>
        <v>2500</v>
      </c>
      <c r="H271" s="30"/>
    </row>
    <row r="272" spans="1:8" ht="15">
      <c r="A272" s="36" t="s">
        <v>574</v>
      </c>
      <c r="B272" s="34" t="s">
        <v>118</v>
      </c>
      <c r="C272" s="34" t="s">
        <v>1338</v>
      </c>
      <c r="D272" s="27" t="s">
        <v>1295</v>
      </c>
      <c r="E272" s="27"/>
      <c r="F272" s="19">
        <f>F273</f>
        <v>2500</v>
      </c>
      <c r="G272" s="19">
        <f t="shared" si="12"/>
        <v>2500</v>
      </c>
      <c r="H272" s="30"/>
    </row>
    <row r="273" spans="1:8" ht="24">
      <c r="A273" s="36" t="s">
        <v>263</v>
      </c>
      <c r="B273" s="34" t="s">
        <v>118</v>
      </c>
      <c r="C273" s="34" t="s">
        <v>1338</v>
      </c>
      <c r="D273" s="27" t="s">
        <v>1295</v>
      </c>
      <c r="E273" s="27" t="s">
        <v>1204</v>
      </c>
      <c r="F273" s="85">
        <f>F274</f>
        <v>2500</v>
      </c>
      <c r="G273" s="19">
        <f t="shared" si="12"/>
        <v>2500</v>
      </c>
      <c r="H273" s="30"/>
    </row>
    <row r="274" spans="1:8" ht="36">
      <c r="A274" s="36" t="s">
        <v>459</v>
      </c>
      <c r="B274" s="34" t="s">
        <v>118</v>
      </c>
      <c r="C274" s="34" t="s">
        <v>1338</v>
      </c>
      <c r="D274" s="27" t="s">
        <v>1295</v>
      </c>
      <c r="E274" s="17" t="s">
        <v>641</v>
      </c>
      <c r="F274" s="85">
        <f>F275</f>
        <v>2500</v>
      </c>
      <c r="G274" s="19">
        <f t="shared" si="12"/>
        <v>2500</v>
      </c>
      <c r="H274" s="30"/>
    </row>
    <row r="275" spans="1:8" ht="24">
      <c r="A275" s="18" t="s">
        <v>418</v>
      </c>
      <c r="B275" s="34" t="s">
        <v>118</v>
      </c>
      <c r="C275" s="34" t="s">
        <v>1338</v>
      </c>
      <c r="D275" s="27" t="s">
        <v>1295</v>
      </c>
      <c r="E275" s="27" t="s">
        <v>419</v>
      </c>
      <c r="F275" s="55">
        <f>1000+1500</f>
        <v>2500</v>
      </c>
      <c r="G275" s="19">
        <f t="shared" si="12"/>
        <v>2500</v>
      </c>
      <c r="H275" s="30"/>
    </row>
    <row r="276" spans="1:8" ht="24" hidden="1">
      <c r="A276" s="18" t="s">
        <v>417</v>
      </c>
      <c r="B276" s="54" t="s">
        <v>118</v>
      </c>
      <c r="C276" s="54" t="s">
        <v>1338</v>
      </c>
      <c r="D276" s="27" t="s">
        <v>1295</v>
      </c>
      <c r="E276" s="17" t="s">
        <v>420</v>
      </c>
      <c r="F276" s="55">
        <v>1000</v>
      </c>
      <c r="G276" s="19">
        <f t="shared" si="12"/>
        <v>1000</v>
      </c>
      <c r="H276" s="30"/>
    </row>
    <row r="277" spans="1:8" ht="15">
      <c r="A277" s="31" t="s">
        <v>959</v>
      </c>
      <c r="B277" s="17" t="s">
        <v>118</v>
      </c>
      <c r="C277" s="17" t="s">
        <v>806</v>
      </c>
      <c r="D277" s="17"/>
      <c r="E277" s="17"/>
      <c r="F277" s="19">
        <f>F280</f>
        <v>101443.9</v>
      </c>
      <c r="G277" s="19">
        <f t="shared" si="12"/>
        <v>101443.9</v>
      </c>
      <c r="H277" s="19">
        <f>H280</f>
        <v>0</v>
      </c>
    </row>
    <row r="278" spans="1:8" ht="36">
      <c r="A278" s="33" t="s">
        <v>1435</v>
      </c>
      <c r="B278" s="17" t="s">
        <v>118</v>
      </c>
      <c r="C278" s="17" t="s">
        <v>806</v>
      </c>
      <c r="D278" s="17" t="s">
        <v>1296</v>
      </c>
      <c r="E278" s="17"/>
      <c r="F278" s="19">
        <f>F279</f>
        <v>101443.9</v>
      </c>
      <c r="G278" s="19">
        <f t="shared" si="12"/>
        <v>101443.9</v>
      </c>
      <c r="H278" s="19"/>
    </row>
    <row r="279" spans="1:8" ht="48">
      <c r="A279" s="36" t="s">
        <v>315</v>
      </c>
      <c r="B279" s="17" t="s">
        <v>118</v>
      </c>
      <c r="C279" s="17" t="s">
        <v>806</v>
      </c>
      <c r="D279" s="17" t="s">
        <v>316</v>
      </c>
      <c r="E279" s="17"/>
      <c r="F279" s="19">
        <f>F280</f>
        <v>101443.9</v>
      </c>
      <c r="G279" s="19">
        <f t="shared" si="12"/>
        <v>101443.9</v>
      </c>
      <c r="H279" s="19"/>
    </row>
    <row r="280" spans="1:8" ht="24">
      <c r="A280" s="36" t="s">
        <v>264</v>
      </c>
      <c r="B280" s="17" t="s">
        <v>118</v>
      </c>
      <c r="C280" s="17" t="s">
        <v>806</v>
      </c>
      <c r="D280" s="17" t="s">
        <v>316</v>
      </c>
      <c r="E280" s="17" t="s">
        <v>1204</v>
      </c>
      <c r="F280" s="19">
        <f>F281+F284+F287+F291</f>
        <v>101443.9</v>
      </c>
      <c r="G280" s="19">
        <f t="shared" si="12"/>
        <v>101443.9</v>
      </c>
      <c r="H280" s="19">
        <f>H284</f>
        <v>0</v>
      </c>
    </row>
    <row r="281" spans="1:8" ht="24">
      <c r="A281" s="158" t="s">
        <v>486</v>
      </c>
      <c r="B281" s="17" t="s">
        <v>118</v>
      </c>
      <c r="C281" s="17" t="s">
        <v>806</v>
      </c>
      <c r="D281" s="17" t="s">
        <v>447</v>
      </c>
      <c r="E281" s="17" t="s">
        <v>402</v>
      </c>
      <c r="F281" s="19">
        <f>F282</f>
        <v>100355.9</v>
      </c>
      <c r="G281" s="19">
        <f>F281-H281</f>
        <v>100355.9</v>
      </c>
      <c r="H281" s="19"/>
    </row>
    <row r="282" spans="1:8" ht="30" customHeight="1">
      <c r="A282" s="158" t="s">
        <v>471</v>
      </c>
      <c r="B282" s="17" t="s">
        <v>118</v>
      </c>
      <c r="C282" s="17" t="s">
        <v>806</v>
      </c>
      <c r="D282" s="17" t="s">
        <v>447</v>
      </c>
      <c r="E282" s="17" t="s">
        <v>1333</v>
      </c>
      <c r="F282" s="20">
        <v>100355.9</v>
      </c>
      <c r="G282" s="19">
        <f>F282-H282</f>
        <v>100355.9</v>
      </c>
      <c r="H282" s="19"/>
    </row>
    <row r="283" spans="1:8" ht="28.5" customHeight="1" hidden="1">
      <c r="A283" s="158" t="s">
        <v>233</v>
      </c>
      <c r="B283" s="17" t="s">
        <v>118</v>
      </c>
      <c r="C283" s="17" t="s">
        <v>806</v>
      </c>
      <c r="D283" s="17" t="s">
        <v>447</v>
      </c>
      <c r="E283" s="17" t="s">
        <v>234</v>
      </c>
      <c r="F283" s="20"/>
      <c r="G283" s="19">
        <f>F283-H283</f>
        <v>0</v>
      </c>
      <c r="H283" s="19"/>
    </row>
    <row r="284" spans="1:8" ht="24">
      <c r="A284" s="36" t="s">
        <v>800</v>
      </c>
      <c r="B284" s="17" t="s">
        <v>118</v>
      </c>
      <c r="C284" s="17" t="s">
        <v>806</v>
      </c>
      <c r="D284" s="17" t="s">
        <v>446</v>
      </c>
      <c r="E284" s="17" t="s">
        <v>1204</v>
      </c>
      <c r="F284" s="19">
        <f>F285</f>
        <v>598</v>
      </c>
      <c r="G284" s="19">
        <f aca="true" t="shared" si="13" ref="G284:G294">F284-H284</f>
        <v>598</v>
      </c>
      <c r="H284" s="19">
        <f>H285</f>
        <v>0</v>
      </c>
    </row>
    <row r="285" spans="1:8" ht="24">
      <c r="A285" s="158" t="s">
        <v>1189</v>
      </c>
      <c r="B285" s="17" t="s">
        <v>118</v>
      </c>
      <c r="C285" s="17" t="s">
        <v>806</v>
      </c>
      <c r="D285" s="17" t="s">
        <v>446</v>
      </c>
      <c r="E285" s="17" t="s">
        <v>1190</v>
      </c>
      <c r="F285" s="19">
        <f>F286</f>
        <v>598</v>
      </c>
      <c r="G285" s="19">
        <f t="shared" si="13"/>
        <v>598</v>
      </c>
      <c r="H285" s="19">
        <f>H286</f>
        <v>0</v>
      </c>
    </row>
    <row r="286" spans="1:8" ht="51" customHeight="1">
      <c r="A286" s="18" t="s">
        <v>445</v>
      </c>
      <c r="B286" s="17" t="s">
        <v>118</v>
      </c>
      <c r="C286" s="17" t="s">
        <v>806</v>
      </c>
      <c r="D286" s="17" t="s">
        <v>446</v>
      </c>
      <c r="E286" s="17" t="s">
        <v>467</v>
      </c>
      <c r="F286" s="20">
        <v>598</v>
      </c>
      <c r="G286" s="19">
        <f t="shared" si="13"/>
        <v>598</v>
      </c>
      <c r="H286" s="19"/>
    </row>
    <row r="287" spans="1:8" ht="87.75" customHeight="1">
      <c r="A287" s="18" t="s">
        <v>451</v>
      </c>
      <c r="B287" s="17" t="s">
        <v>118</v>
      </c>
      <c r="C287" s="17" t="s">
        <v>806</v>
      </c>
      <c r="D287" s="17" t="s">
        <v>448</v>
      </c>
      <c r="E287" s="17" t="s">
        <v>1204</v>
      </c>
      <c r="F287" s="19">
        <f>F288</f>
        <v>125</v>
      </c>
      <c r="G287" s="19">
        <f>G289</f>
        <v>125</v>
      </c>
      <c r="H287" s="19"/>
    </row>
    <row r="288" spans="1:8" ht="19.5" customHeight="1">
      <c r="A288" s="158" t="s">
        <v>486</v>
      </c>
      <c r="B288" s="17" t="s">
        <v>118</v>
      </c>
      <c r="C288" s="17" t="s">
        <v>806</v>
      </c>
      <c r="D288" s="17" t="s">
        <v>448</v>
      </c>
      <c r="E288" s="17" t="s">
        <v>402</v>
      </c>
      <c r="F288" s="19">
        <f>F289</f>
        <v>125</v>
      </c>
      <c r="G288" s="19">
        <f t="shared" si="13"/>
        <v>125</v>
      </c>
      <c r="H288" s="19"/>
    </row>
    <row r="289" spans="1:8" ht="23.25" customHeight="1">
      <c r="A289" s="158" t="s">
        <v>471</v>
      </c>
      <c r="B289" s="17" t="s">
        <v>118</v>
      </c>
      <c r="C289" s="17" t="s">
        <v>806</v>
      </c>
      <c r="D289" s="17" t="s">
        <v>448</v>
      </c>
      <c r="E289" s="17" t="s">
        <v>1333</v>
      </c>
      <c r="F289" s="20">
        <f>365-240</f>
        <v>125</v>
      </c>
      <c r="G289" s="19">
        <f t="shared" si="13"/>
        <v>125</v>
      </c>
      <c r="H289" s="19"/>
    </row>
    <row r="290" spans="1:8" ht="27" customHeight="1" hidden="1">
      <c r="A290" s="158" t="s">
        <v>233</v>
      </c>
      <c r="B290" s="17" t="s">
        <v>118</v>
      </c>
      <c r="C290" s="17" t="s">
        <v>806</v>
      </c>
      <c r="D290" s="17" t="s">
        <v>448</v>
      </c>
      <c r="E290" s="17" t="s">
        <v>234</v>
      </c>
      <c r="F290" s="20">
        <v>365</v>
      </c>
      <c r="G290" s="19">
        <f t="shared" si="13"/>
        <v>365</v>
      </c>
      <c r="H290" s="19"/>
    </row>
    <row r="291" spans="1:8" ht="93.75" customHeight="1">
      <c r="A291" s="18" t="s">
        <v>399</v>
      </c>
      <c r="B291" s="17" t="s">
        <v>118</v>
      </c>
      <c r="C291" s="17" t="s">
        <v>806</v>
      </c>
      <c r="D291" s="17" t="s">
        <v>1423</v>
      </c>
      <c r="E291" s="17" t="s">
        <v>1204</v>
      </c>
      <c r="F291" s="19">
        <f>F292</f>
        <v>365</v>
      </c>
      <c r="G291" s="19">
        <f t="shared" si="13"/>
        <v>365</v>
      </c>
      <c r="H291" s="19"/>
    </row>
    <row r="292" spans="1:8" ht="27.75" customHeight="1">
      <c r="A292" s="158" t="s">
        <v>486</v>
      </c>
      <c r="B292" s="17" t="s">
        <v>118</v>
      </c>
      <c r="C292" s="17" t="s">
        <v>806</v>
      </c>
      <c r="D292" s="17" t="s">
        <v>1423</v>
      </c>
      <c r="E292" s="17" t="s">
        <v>402</v>
      </c>
      <c r="F292" s="19">
        <f>F293</f>
        <v>365</v>
      </c>
      <c r="G292" s="19">
        <f t="shared" si="13"/>
        <v>365</v>
      </c>
      <c r="H292" s="19"/>
    </row>
    <row r="293" spans="1:8" ht="25.5" customHeight="1">
      <c r="A293" s="158" t="s">
        <v>471</v>
      </c>
      <c r="B293" s="17" t="s">
        <v>118</v>
      </c>
      <c r="C293" s="17" t="s">
        <v>806</v>
      </c>
      <c r="D293" s="17" t="s">
        <v>1423</v>
      </c>
      <c r="E293" s="17" t="s">
        <v>1333</v>
      </c>
      <c r="F293" s="20">
        <v>365</v>
      </c>
      <c r="G293" s="19">
        <f t="shared" si="13"/>
        <v>365</v>
      </c>
      <c r="H293" s="19"/>
    </row>
    <row r="294" spans="1:8" ht="27" customHeight="1" hidden="1">
      <c r="A294" s="158" t="s">
        <v>233</v>
      </c>
      <c r="B294" s="17" t="s">
        <v>118</v>
      </c>
      <c r="C294" s="17" t="s">
        <v>806</v>
      </c>
      <c r="D294" s="17" t="s">
        <v>1423</v>
      </c>
      <c r="E294" s="17" t="s">
        <v>234</v>
      </c>
      <c r="F294" s="20">
        <v>365</v>
      </c>
      <c r="G294" s="19">
        <f t="shared" si="13"/>
        <v>365</v>
      </c>
      <c r="H294" s="19"/>
    </row>
    <row r="295" spans="1:8" ht="24">
      <c r="A295" s="78" t="s">
        <v>219</v>
      </c>
      <c r="B295" s="17" t="s">
        <v>118</v>
      </c>
      <c r="C295" s="17" t="s">
        <v>1339</v>
      </c>
      <c r="D295" s="17"/>
      <c r="E295" s="17"/>
      <c r="F295" s="19">
        <f>F296+F308</f>
        <v>250094.00000000003</v>
      </c>
      <c r="G295" s="19">
        <f>F295-H295</f>
        <v>250094.00000000003</v>
      </c>
      <c r="H295" s="19"/>
    </row>
    <row r="296" spans="1:8" ht="36">
      <c r="A296" s="33" t="s">
        <v>1435</v>
      </c>
      <c r="B296" s="17" t="s">
        <v>118</v>
      </c>
      <c r="C296" s="17" t="s">
        <v>1339</v>
      </c>
      <c r="D296" s="17" t="s">
        <v>1296</v>
      </c>
      <c r="E296" s="17"/>
      <c r="F296" s="19">
        <f>F297+F305</f>
        <v>247788.00000000003</v>
      </c>
      <c r="G296" s="19">
        <f>F296-H296</f>
        <v>247788.00000000003</v>
      </c>
      <c r="H296" s="19"/>
    </row>
    <row r="297" spans="1:8" ht="48">
      <c r="A297" s="36" t="s">
        <v>206</v>
      </c>
      <c r="B297" s="17" t="s">
        <v>118</v>
      </c>
      <c r="C297" s="17" t="s">
        <v>1339</v>
      </c>
      <c r="D297" s="17" t="s">
        <v>207</v>
      </c>
      <c r="E297" s="17" t="s">
        <v>1204</v>
      </c>
      <c r="F297" s="19">
        <f>F298+F302</f>
        <v>223607.10000000003</v>
      </c>
      <c r="G297" s="19">
        <f>F297-H297</f>
        <v>223607.10000000003</v>
      </c>
      <c r="H297" s="19"/>
    </row>
    <row r="298" spans="1:8" ht="24">
      <c r="A298" s="158" t="s">
        <v>486</v>
      </c>
      <c r="B298" s="17" t="s">
        <v>118</v>
      </c>
      <c r="C298" s="17" t="s">
        <v>1339</v>
      </c>
      <c r="D298" s="17" t="s">
        <v>210</v>
      </c>
      <c r="E298" s="17" t="s">
        <v>402</v>
      </c>
      <c r="F298" s="19">
        <f>F299</f>
        <v>113133.40000000002</v>
      </c>
      <c r="G298" s="19">
        <f aca="true" t="shared" si="14" ref="G298:G310">F298-H298</f>
        <v>113133.40000000002</v>
      </c>
      <c r="H298" s="19"/>
    </row>
    <row r="299" spans="1:8" ht="24">
      <c r="A299" s="158" t="s">
        <v>471</v>
      </c>
      <c r="B299" s="17" t="s">
        <v>118</v>
      </c>
      <c r="C299" s="17" t="s">
        <v>1339</v>
      </c>
      <c r="D299" s="17" t="s">
        <v>210</v>
      </c>
      <c r="E299" s="17" t="s">
        <v>1333</v>
      </c>
      <c r="F299" s="20">
        <f>69500+7205.6+89.5+17420+20188.8+187.5-20188.8+0.1+128.4+959.8+3566.6+1426.3+9969.6-820+3500</f>
        <v>113133.40000000002</v>
      </c>
      <c r="G299" s="19">
        <f t="shared" si="14"/>
        <v>113133.40000000002</v>
      </c>
      <c r="H299" s="19"/>
    </row>
    <row r="300" spans="1:8" ht="36" hidden="1">
      <c r="A300" s="158" t="s">
        <v>814</v>
      </c>
      <c r="B300" s="17" t="s">
        <v>118</v>
      </c>
      <c r="C300" s="17" t="s">
        <v>1339</v>
      </c>
      <c r="D300" s="17" t="s">
        <v>210</v>
      </c>
      <c r="E300" s="17" t="s">
        <v>465</v>
      </c>
      <c r="F300" s="20">
        <v>64500</v>
      </c>
      <c r="G300" s="19">
        <f t="shared" si="14"/>
        <v>64500</v>
      </c>
      <c r="H300" s="19"/>
    </row>
    <row r="301" spans="1:8" ht="24" hidden="1">
      <c r="A301" s="158" t="s">
        <v>233</v>
      </c>
      <c r="B301" s="17" t="s">
        <v>118</v>
      </c>
      <c r="C301" s="17" t="s">
        <v>1339</v>
      </c>
      <c r="D301" s="17" t="s">
        <v>210</v>
      </c>
      <c r="E301" s="17" t="s">
        <v>234</v>
      </c>
      <c r="F301" s="20">
        <v>5000</v>
      </c>
      <c r="G301" s="19">
        <f t="shared" si="14"/>
        <v>5000</v>
      </c>
      <c r="H301" s="19"/>
    </row>
    <row r="302" spans="1:8" ht="36">
      <c r="A302" s="36" t="s">
        <v>459</v>
      </c>
      <c r="B302" s="17" t="s">
        <v>118</v>
      </c>
      <c r="C302" s="17" t="s">
        <v>1339</v>
      </c>
      <c r="D302" s="17" t="s">
        <v>210</v>
      </c>
      <c r="E302" s="17" t="s">
        <v>641</v>
      </c>
      <c r="F302" s="19">
        <f>F303</f>
        <v>110473.7</v>
      </c>
      <c r="G302" s="19">
        <f t="shared" si="14"/>
        <v>110473.7</v>
      </c>
      <c r="H302" s="19"/>
    </row>
    <row r="303" spans="1:8" ht="24">
      <c r="A303" s="18" t="s">
        <v>390</v>
      </c>
      <c r="B303" s="17" t="s">
        <v>118</v>
      </c>
      <c r="C303" s="17" t="s">
        <v>1339</v>
      </c>
      <c r="D303" s="17" t="s">
        <v>210</v>
      </c>
      <c r="E303" s="17" t="s">
        <v>419</v>
      </c>
      <c r="F303" s="20">
        <f>110000+378.3+343.4-248</f>
        <v>110473.7</v>
      </c>
      <c r="G303" s="19">
        <f t="shared" si="14"/>
        <v>110473.7</v>
      </c>
      <c r="H303" s="19"/>
    </row>
    <row r="304" spans="1:8" ht="36">
      <c r="A304" s="18" t="s">
        <v>296</v>
      </c>
      <c r="B304" s="17" t="s">
        <v>118</v>
      </c>
      <c r="C304" s="17" t="s">
        <v>1339</v>
      </c>
      <c r="D304" s="17" t="s">
        <v>210</v>
      </c>
      <c r="E304" s="17" t="s">
        <v>419</v>
      </c>
      <c r="F304" s="80">
        <v>378.3</v>
      </c>
      <c r="G304" s="19">
        <f t="shared" si="14"/>
        <v>378.3</v>
      </c>
      <c r="H304" s="19"/>
    </row>
    <row r="305" spans="1:8" ht="50.25" customHeight="1">
      <c r="A305" s="29" t="s">
        <v>208</v>
      </c>
      <c r="B305" s="17" t="s">
        <v>118</v>
      </c>
      <c r="C305" s="17" t="s">
        <v>1339</v>
      </c>
      <c r="D305" s="17" t="s">
        <v>209</v>
      </c>
      <c r="E305" s="17" t="s">
        <v>1204</v>
      </c>
      <c r="F305" s="19">
        <f>F306</f>
        <v>24180.9</v>
      </c>
      <c r="G305" s="19">
        <f t="shared" si="14"/>
        <v>24180.9</v>
      </c>
      <c r="H305" s="19"/>
    </row>
    <row r="306" spans="1:8" ht="22.5" customHeight="1">
      <c r="A306" s="158" t="s">
        <v>486</v>
      </c>
      <c r="B306" s="17" t="s">
        <v>118</v>
      </c>
      <c r="C306" s="17" t="s">
        <v>1339</v>
      </c>
      <c r="D306" s="17" t="s">
        <v>211</v>
      </c>
      <c r="E306" s="17" t="s">
        <v>402</v>
      </c>
      <c r="F306" s="19">
        <f>F307</f>
        <v>24180.9</v>
      </c>
      <c r="G306" s="19">
        <f t="shared" si="14"/>
        <v>24180.9</v>
      </c>
      <c r="H306" s="19"/>
    </row>
    <row r="307" spans="1:8" ht="24" customHeight="1">
      <c r="A307" s="158" t="s">
        <v>471</v>
      </c>
      <c r="B307" s="17" t="s">
        <v>118</v>
      </c>
      <c r="C307" s="17" t="s">
        <v>1339</v>
      </c>
      <c r="D307" s="17" t="s">
        <v>211</v>
      </c>
      <c r="E307" s="17" t="s">
        <v>1333</v>
      </c>
      <c r="F307" s="20">
        <f>22610.9+820+750</f>
        <v>24180.9</v>
      </c>
      <c r="G307" s="19">
        <f t="shared" si="14"/>
        <v>24180.9</v>
      </c>
      <c r="H307" s="19"/>
    </row>
    <row r="308" spans="1:8" ht="63.75" customHeight="1">
      <c r="A308" s="18" t="s">
        <v>609</v>
      </c>
      <c r="B308" s="17" t="s">
        <v>118</v>
      </c>
      <c r="C308" s="17" t="s">
        <v>1339</v>
      </c>
      <c r="D308" s="17" t="s">
        <v>1227</v>
      </c>
      <c r="E308" s="17" t="s">
        <v>1204</v>
      </c>
      <c r="F308" s="19">
        <f>F309</f>
        <v>2306</v>
      </c>
      <c r="G308" s="19">
        <f t="shared" si="14"/>
        <v>2306</v>
      </c>
      <c r="H308" s="19"/>
    </row>
    <row r="309" spans="1:8" ht="36.75" customHeight="1">
      <c r="A309" s="158" t="s">
        <v>486</v>
      </c>
      <c r="B309" s="17" t="s">
        <v>118</v>
      </c>
      <c r="C309" s="17" t="s">
        <v>1339</v>
      </c>
      <c r="D309" s="17" t="s">
        <v>1227</v>
      </c>
      <c r="E309" s="17" t="s">
        <v>402</v>
      </c>
      <c r="F309" s="19">
        <f>F310</f>
        <v>2306</v>
      </c>
      <c r="G309" s="19">
        <f t="shared" si="14"/>
        <v>2306</v>
      </c>
      <c r="H309" s="19"/>
    </row>
    <row r="310" spans="1:8" ht="24">
      <c r="A310" s="158" t="s">
        <v>471</v>
      </c>
      <c r="B310" s="17" t="s">
        <v>118</v>
      </c>
      <c r="C310" s="17" t="s">
        <v>1339</v>
      </c>
      <c r="D310" s="17" t="s">
        <v>1227</v>
      </c>
      <c r="E310" s="17" t="s">
        <v>1333</v>
      </c>
      <c r="F310" s="20">
        <f>322+500+1484</f>
        <v>2306</v>
      </c>
      <c r="G310" s="19">
        <f t="shared" si="14"/>
        <v>2306</v>
      </c>
      <c r="H310" s="19"/>
    </row>
    <row r="311" spans="1:8" ht="15">
      <c r="A311" s="31" t="s">
        <v>869</v>
      </c>
      <c r="B311" s="17" t="s">
        <v>118</v>
      </c>
      <c r="C311" s="17" t="s">
        <v>1337</v>
      </c>
      <c r="D311" s="17"/>
      <c r="E311" s="17"/>
      <c r="F311" s="19">
        <f>F312+F322</f>
        <v>21779.6</v>
      </c>
      <c r="G311" s="19">
        <f>G312+G322</f>
        <v>21779.6</v>
      </c>
      <c r="H311" s="19">
        <f>H312</f>
        <v>0</v>
      </c>
    </row>
    <row r="312" spans="1:8" ht="24">
      <c r="A312" s="32" t="s">
        <v>328</v>
      </c>
      <c r="B312" s="17" t="s">
        <v>118</v>
      </c>
      <c r="C312" s="17" t="s">
        <v>1337</v>
      </c>
      <c r="D312" s="17" t="s">
        <v>458</v>
      </c>
      <c r="E312" s="17"/>
      <c r="F312" s="19">
        <f>F313+F318</f>
        <v>9637.6</v>
      </c>
      <c r="G312" s="19">
        <f>G313+G318</f>
        <v>9637.6</v>
      </c>
      <c r="H312" s="19">
        <f>H313+H318</f>
        <v>0</v>
      </c>
    </row>
    <row r="313" spans="1:8" ht="48">
      <c r="A313" s="36" t="s">
        <v>36</v>
      </c>
      <c r="B313" s="17" t="s">
        <v>118</v>
      </c>
      <c r="C313" s="17" t="s">
        <v>1337</v>
      </c>
      <c r="D313" s="17" t="s">
        <v>202</v>
      </c>
      <c r="E313" s="17"/>
      <c r="F313" s="19">
        <f>F314</f>
        <v>4961.6</v>
      </c>
      <c r="G313" s="19">
        <f>G314</f>
        <v>4961.6</v>
      </c>
      <c r="H313" s="19"/>
    </row>
    <row r="314" spans="1:8" ht="36">
      <c r="A314" s="36" t="s">
        <v>459</v>
      </c>
      <c r="B314" s="17" t="s">
        <v>118</v>
      </c>
      <c r="C314" s="17" t="s">
        <v>1337</v>
      </c>
      <c r="D314" s="17" t="s">
        <v>203</v>
      </c>
      <c r="E314" s="17" t="s">
        <v>641</v>
      </c>
      <c r="F314" s="19">
        <f>F315</f>
        <v>4961.6</v>
      </c>
      <c r="G314" s="19">
        <f aca="true" t="shared" si="15" ref="G314:G361">F314-H314</f>
        <v>4961.6</v>
      </c>
      <c r="H314" s="19"/>
    </row>
    <row r="315" spans="1:8" ht="24">
      <c r="A315" s="18" t="s">
        <v>522</v>
      </c>
      <c r="B315" s="17" t="s">
        <v>118</v>
      </c>
      <c r="C315" s="17" t="s">
        <v>1337</v>
      </c>
      <c r="D315" s="17" t="s">
        <v>203</v>
      </c>
      <c r="E315" s="17" t="s">
        <v>419</v>
      </c>
      <c r="F315" s="20">
        <f>2208+1254.9+F317</f>
        <v>4961.6</v>
      </c>
      <c r="G315" s="19">
        <f t="shared" si="15"/>
        <v>4961.6</v>
      </c>
      <c r="H315" s="19"/>
    </row>
    <row r="316" spans="1:8" ht="72">
      <c r="A316" s="18" t="s">
        <v>887</v>
      </c>
      <c r="B316" s="17" t="s">
        <v>118</v>
      </c>
      <c r="C316" s="17" t="s">
        <v>1337</v>
      </c>
      <c r="D316" s="17" t="s">
        <v>203</v>
      </c>
      <c r="E316" s="17" t="s">
        <v>419</v>
      </c>
      <c r="F316" s="20">
        <v>1254.9</v>
      </c>
      <c r="G316" s="19">
        <f t="shared" si="15"/>
        <v>1254.9</v>
      </c>
      <c r="H316" s="19"/>
    </row>
    <row r="317" spans="1:8" ht="48">
      <c r="A317" s="18" t="s">
        <v>993</v>
      </c>
      <c r="B317" s="17" t="s">
        <v>118</v>
      </c>
      <c r="C317" s="17" t="s">
        <v>1337</v>
      </c>
      <c r="D317" s="17" t="s">
        <v>203</v>
      </c>
      <c r="E317" s="17" t="s">
        <v>419</v>
      </c>
      <c r="F317" s="20">
        <v>1498.7</v>
      </c>
      <c r="G317" s="19">
        <f t="shared" si="15"/>
        <v>1498.7</v>
      </c>
      <c r="H317" s="19"/>
    </row>
    <row r="318" spans="1:8" ht="48">
      <c r="A318" s="159" t="s">
        <v>757</v>
      </c>
      <c r="B318" s="17" t="s">
        <v>118</v>
      </c>
      <c r="C318" s="17" t="s">
        <v>1337</v>
      </c>
      <c r="D318" s="17" t="s">
        <v>751</v>
      </c>
      <c r="E318" s="17"/>
      <c r="F318" s="19">
        <f>F319</f>
        <v>4676</v>
      </c>
      <c r="G318" s="19">
        <f aca="true" t="shared" si="16" ref="G318:H320">G319</f>
        <v>4676</v>
      </c>
      <c r="H318" s="19">
        <f t="shared" si="16"/>
        <v>0</v>
      </c>
    </row>
    <row r="319" spans="1:8" ht="60">
      <c r="A319" s="18" t="s">
        <v>567</v>
      </c>
      <c r="B319" s="17" t="s">
        <v>118</v>
      </c>
      <c r="C319" s="17" t="s">
        <v>1337</v>
      </c>
      <c r="D319" s="17" t="s">
        <v>1210</v>
      </c>
      <c r="E319" s="17"/>
      <c r="F319" s="19">
        <f>F320</f>
        <v>4676</v>
      </c>
      <c r="G319" s="19">
        <f t="shared" si="16"/>
        <v>4676</v>
      </c>
      <c r="H319" s="19">
        <f t="shared" si="16"/>
        <v>0</v>
      </c>
    </row>
    <row r="320" spans="1:8" ht="24">
      <c r="A320" s="158" t="s">
        <v>486</v>
      </c>
      <c r="B320" s="17" t="s">
        <v>118</v>
      </c>
      <c r="C320" s="17" t="s">
        <v>1337</v>
      </c>
      <c r="D320" s="17" t="s">
        <v>1210</v>
      </c>
      <c r="E320" s="17" t="s">
        <v>402</v>
      </c>
      <c r="F320" s="19">
        <f>F321</f>
        <v>4676</v>
      </c>
      <c r="G320" s="19">
        <f t="shared" si="16"/>
        <v>4676</v>
      </c>
      <c r="H320" s="19">
        <f t="shared" si="16"/>
        <v>0</v>
      </c>
    </row>
    <row r="321" spans="1:8" ht="24">
      <c r="A321" s="158" t="s">
        <v>471</v>
      </c>
      <c r="B321" s="17" t="s">
        <v>118</v>
      </c>
      <c r="C321" s="17" t="s">
        <v>1337</v>
      </c>
      <c r="D321" s="17" t="s">
        <v>1210</v>
      </c>
      <c r="E321" s="17" t="s">
        <v>1333</v>
      </c>
      <c r="F321" s="20">
        <v>4676</v>
      </c>
      <c r="G321" s="19">
        <f t="shared" si="15"/>
        <v>4676</v>
      </c>
      <c r="H321" s="20"/>
    </row>
    <row r="322" spans="1:8" ht="36">
      <c r="A322" s="33" t="s">
        <v>301</v>
      </c>
      <c r="B322" s="17" t="s">
        <v>118</v>
      </c>
      <c r="C322" s="17" t="s">
        <v>1337</v>
      </c>
      <c r="D322" s="17" t="s">
        <v>145</v>
      </c>
      <c r="E322" s="17"/>
      <c r="F322" s="19">
        <f>F323</f>
        <v>12142</v>
      </c>
      <c r="G322" s="19">
        <f t="shared" si="15"/>
        <v>12142</v>
      </c>
      <c r="H322" s="19"/>
    </row>
    <row r="323" spans="1:8" ht="48">
      <c r="A323" s="18" t="s">
        <v>1421</v>
      </c>
      <c r="B323" s="17" t="s">
        <v>118</v>
      </c>
      <c r="C323" s="17" t="s">
        <v>1337</v>
      </c>
      <c r="D323" s="17" t="s">
        <v>146</v>
      </c>
      <c r="E323" s="17"/>
      <c r="F323" s="19">
        <f>F324</f>
        <v>12142</v>
      </c>
      <c r="G323" s="19">
        <f t="shared" si="15"/>
        <v>12142</v>
      </c>
      <c r="H323" s="19"/>
    </row>
    <row r="324" spans="1:8" ht="36">
      <c r="A324" s="36" t="s">
        <v>459</v>
      </c>
      <c r="B324" s="17" t="s">
        <v>118</v>
      </c>
      <c r="C324" s="17" t="s">
        <v>1337</v>
      </c>
      <c r="D324" s="17" t="s">
        <v>1091</v>
      </c>
      <c r="E324" s="17" t="s">
        <v>641</v>
      </c>
      <c r="F324" s="19">
        <f>F325</f>
        <v>12142</v>
      </c>
      <c r="G324" s="19">
        <f t="shared" si="15"/>
        <v>12142</v>
      </c>
      <c r="H324" s="19"/>
    </row>
    <row r="325" spans="1:8" ht="24">
      <c r="A325" s="18" t="s">
        <v>418</v>
      </c>
      <c r="B325" s="17" t="s">
        <v>118</v>
      </c>
      <c r="C325" s="17" t="s">
        <v>1337</v>
      </c>
      <c r="D325" s="17" t="s">
        <v>1091</v>
      </c>
      <c r="E325" s="17" t="s">
        <v>419</v>
      </c>
      <c r="F325" s="20">
        <v>12142</v>
      </c>
      <c r="G325" s="19">
        <f t="shared" si="15"/>
        <v>12142</v>
      </c>
      <c r="H325" s="19"/>
    </row>
    <row r="326" spans="1:8" ht="24" hidden="1">
      <c r="A326" s="18" t="s">
        <v>417</v>
      </c>
      <c r="B326" s="17" t="s">
        <v>118</v>
      </c>
      <c r="C326" s="17" t="s">
        <v>1337</v>
      </c>
      <c r="D326" s="17" t="s">
        <v>204</v>
      </c>
      <c r="E326" s="17" t="s">
        <v>420</v>
      </c>
      <c r="F326" s="20">
        <v>12142</v>
      </c>
      <c r="G326" s="19">
        <f t="shared" si="15"/>
        <v>12142</v>
      </c>
      <c r="H326" s="19"/>
    </row>
    <row r="327" spans="1:8" ht="24">
      <c r="A327" s="31" t="s">
        <v>48</v>
      </c>
      <c r="B327" s="17" t="s">
        <v>118</v>
      </c>
      <c r="C327" s="17" t="s">
        <v>1342</v>
      </c>
      <c r="D327" s="17"/>
      <c r="E327" s="26"/>
      <c r="F327" s="19">
        <f>F328+F334+F340</f>
        <v>4787.5</v>
      </c>
      <c r="G327" s="19">
        <f t="shared" si="15"/>
        <v>4787.5</v>
      </c>
      <c r="H327" s="19">
        <f>H328+H340</f>
        <v>0</v>
      </c>
    </row>
    <row r="328" spans="1:8" ht="24">
      <c r="A328" s="32" t="s">
        <v>328</v>
      </c>
      <c r="B328" s="17" t="s">
        <v>118</v>
      </c>
      <c r="C328" s="17" t="s">
        <v>1342</v>
      </c>
      <c r="D328" s="17" t="s">
        <v>458</v>
      </c>
      <c r="E328" s="17"/>
      <c r="F328" s="19">
        <f>F329</f>
        <v>1340.3000000000002</v>
      </c>
      <c r="G328" s="19">
        <f t="shared" si="15"/>
        <v>1340.3000000000002</v>
      </c>
      <c r="H328" s="19"/>
    </row>
    <row r="329" spans="1:8" ht="108">
      <c r="A329" s="18" t="s">
        <v>941</v>
      </c>
      <c r="B329" s="17" t="s">
        <v>118</v>
      </c>
      <c r="C329" s="17" t="s">
        <v>1342</v>
      </c>
      <c r="D329" s="17" t="s">
        <v>943</v>
      </c>
      <c r="E329" s="17"/>
      <c r="F329" s="19">
        <f>F330</f>
        <v>1340.3000000000002</v>
      </c>
      <c r="G329" s="19">
        <f t="shared" si="15"/>
        <v>1340.3000000000002</v>
      </c>
      <c r="H329" s="19"/>
    </row>
    <row r="330" spans="1:8" ht="24">
      <c r="A330" s="29" t="s">
        <v>289</v>
      </c>
      <c r="B330" s="17" t="s">
        <v>118</v>
      </c>
      <c r="C330" s="17" t="s">
        <v>1342</v>
      </c>
      <c r="D330" s="17" t="s">
        <v>944</v>
      </c>
      <c r="E330" s="26" t="s">
        <v>1204</v>
      </c>
      <c r="F330" s="19">
        <f>F331</f>
        <v>1340.3000000000002</v>
      </c>
      <c r="G330" s="19">
        <f t="shared" si="15"/>
        <v>1340.3000000000002</v>
      </c>
      <c r="H330" s="19"/>
    </row>
    <row r="331" spans="1:8" ht="24">
      <c r="A331" s="158" t="s">
        <v>486</v>
      </c>
      <c r="B331" s="17" t="s">
        <v>118</v>
      </c>
      <c r="C331" s="17" t="s">
        <v>1342</v>
      </c>
      <c r="D331" s="17" t="s">
        <v>944</v>
      </c>
      <c r="E331" s="26" t="s">
        <v>402</v>
      </c>
      <c r="F331" s="19">
        <f>F332</f>
        <v>1340.3000000000002</v>
      </c>
      <c r="G331" s="19">
        <f t="shared" si="15"/>
        <v>1340.3000000000002</v>
      </c>
      <c r="H331" s="19"/>
    </row>
    <row r="332" spans="1:8" ht="24">
      <c r="A332" s="158" t="s">
        <v>471</v>
      </c>
      <c r="B332" s="17" t="s">
        <v>118</v>
      </c>
      <c r="C332" s="17" t="s">
        <v>1342</v>
      </c>
      <c r="D332" s="17" t="s">
        <v>944</v>
      </c>
      <c r="E332" s="26" t="s">
        <v>1333</v>
      </c>
      <c r="F332" s="20">
        <f>1425-70-2.1-12.6</f>
        <v>1340.3000000000002</v>
      </c>
      <c r="G332" s="19">
        <f t="shared" si="15"/>
        <v>1340.3000000000002</v>
      </c>
      <c r="H332" s="19"/>
    </row>
    <row r="333" spans="1:8" ht="24" hidden="1">
      <c r="A333" s="158" t="s">
        <v>233</v>
      </c>
      <c r="B333" s="17" t="s">
        <v>118</v>
      </c>
      <c r="C333" s="17" t="s">
        <v>1342</v>
      </c>
      <c r="D333" s="17" t="s">
        <v>944</v>
      </c>
      <c r="E333" s="26" t="s">
        <v>234</v>
      </c>
      <c r="F333" s="20">
        <v>1450</v>
      </c>
      <c r="G333" s="19">
        <f t="shared" si="15"/>
        <v>1450</v>
      </c>
      <c r="H333" s="19"/>
    </row>
    <row r="334" spans="1:8" ht="36">
      <c r="A334" s="199" t="s">
        <v>291</v>
      </c>
      <c r="B334" s="17" t="s">
        <v>118</v>
      </c>
      <c r="C334" s="17" t="s">
        <v>1342</v>
      </c>
      <c r="D334" s="17" t="s">
        <v>1293</v>
      </c>
      <c r="E334" s="26"/>
      <c r="F334" s="19">
        <f>F335</f>
        <v>647.2</v>
      </c>
      <c r="G334" s="19">
        <f t="shared" si="15"/>
        <v>647.2</v>
      </c>
      <c r="H334" s="19"/>
    </row>
    <row r="335" spans="1:8" ht="36">
      <c r="A335" s="158" t="s">
        <v>1292</v>
      </c>
      <c r="B335" s="17" t="s">
        <v>118</v>
      </c>
      <c r="C335" s="17" t="s">
        <v>1342</v>
      </c>
      <c r="D335" s="17" t="s">
        <v>1294</v>
      </c>
      <c r="E335" s="26"/>
      <c r="F335" s="19">
        <f>F336</f>
        <v>647.2</v>
      </c>
      <c r="G335" s="19">
        <f t="shared" si="15"/>
        <v>647.2</v>
      </c>
      <c r="H335" s="19"/>
    </row>
    <row r="336" spans="1:8" ht="81" customHeight="1">
      <c r="A336" s="36" t="s">
        <v>414</v>
      </c>
      <c r="B336" s="17" t="s">
        <v>118</v>
      </c>
      <c r="C336" s="17" t="s">
        <v>1342</v>
      </c>
      <c r="D336" s="17" t="s">
        <v>1407</v>
      </c>
      <c r="E336" s="26" t="s">
        <v>1204</v>
      </c>
      <c r="F336" s="19">
        <f>F337</f>
        <v>647.2</v>
      </c>
      <c r="G336" s="19">
        <f t="shared" si="15"/>
        <v>647.2</v>
      </c>
      <c r="H336" s="19"/>
    </row>
    <row r="337" spans="1:8" ht="39" customHeight="1">
      <c r="A337" s="36" t="s">
        <v>459</v>
      </c>
      <c r="B337" s="17" t="s">
        <v>118</v>
      </c>
      <c r="C337" s="17" t="s">
        <v>1342</v>
      </c>
      <c r="D337" s="17" t="s">
        <v>1407</v>
      </c>
      <c r="E337" s="26" t="s">
        <v>641</v>
      </c>
      <c r="F337" s="19">
        <f>F338</f>
        <v>647.2</v>
      </c>
      <c r="G337" s="19">
        <f t="shared" si="15"/>
        <v>647.2</v>
      </c>
      <c r="H337" s="19"/>
    </row>
    <row r="338" spans="1:8" ht="24">
      <c r="A338" s="18" t="s">
        <v>418</v>
      </c>
      <c r="B338" s="17" t="s">
        <v>118</v>
      </c>
      <c r="C338" s="17" t="s">
        <v>1342</v>
      </c>
      <c r="D338" s="17" t="s">
        <v>1407</v>
      </c>
      <c r="E338" s="17" t="s">
        <v>419</v>
      </c>
      <c r="F338" s="20">
        <f>720.6-73.4</f>
        <v>647.2</v>
      </c>
      <c r="G338" s="19">
        <f t="shared" si="15"/>
        <v>647.2</v>
      </c>
      <c r="H338" s="19"/>
    </row>
    <row r="339" spans="1:8" ht="24" hidden="1">
      <c r="A339" s="18" t="s">
        <v>417</v>
      </c>
      <c r="B339" s="17" t="s">
        <v>118</v>
      </c>
      <c r="C339" s="17" t="s">
        <v>1342</v>
      </c>
      <c r="D339" s="17" t="s">
        <v>1407</v>
      </c>
      <c r="E339" s="17" t="s">
        <v>420</v>
      </c>
      <c r="F339" s="80">
        <v>720.6</v>
      </c>
      <c r="G339" s="19">
        <f t="shared" si="15"/>
        <v>720.6</v>
      </c>
      <c r="H339" s="19"/>
    </row>
    <row r="340" spans="1:8" ht="36">
      <c r="A340" s="33" t="s">
        <v>561</v>
      </c>
      <c r="B340" s="17" t="s">
        <v>118</v>
      </c>
      <c r="C340" s="17" t="s">
        <v>1342</v>
      </c>
      <c r="D340" s="17" t="s">
        <v>1399</v>
      </c>
      <c r="E340" s="17"/>
      <c r="F340" s="19">
        <f>F341</f>
        <v>2800</v>
      </c>
      <c r="G340" s="19">
        <f t="shared" si="15"/>
        <v>2800</v>
      </c>
      <c r="H340" s="19"/>
    </row>
    <row r="341" spans="1:8" ht="36">
      <c r="A341" s="36" t="s">
        <v>19</v>
      </c>
      <c r="B341" s="17" t="s">
        <v>118</v>
      </c>
      <c r="C341" s="17" t="s">
        <v>1342</v>
      </c>
      <c r="D341" s="17" t="s">
        <v>1408</v>
      </c>
      <c r="E341" s="17" t="s">
        <v>1204</v>
      </c>
      <c r="F341" s="19">
        <f>F342</f>
        <v>2800</v>
      </c>
      <c r="G341" s="19">
        <f t="shared" si="15"/>
        <v>2800</v>
      </c>
      <c r="H341" s="19">
        <f>H342</f>
        <v>0</v>
      </c>
    </row>
    <row r="342" spans="1:8" ht="24">
      <c r="A342" s="158" t="s">
        <v>1189</v>
      </c>
      <c r="B342" s="17" t="s">
        <v>118</v>
      </c>
      <c r="C342" s="17" t="s">
        <v>1342</v>
      </c>
      <c r="D342" s="17" t="s">
        <v>1408</v>
      </c>
      <c r="E342" s="17" t="s">
        <v>1190</v>
      </c>
      <c r="F342" s="19">
        <f>F343+F344+F345</f>
        <v>2800</v>
      </c>
      <c r="G342" s="19">
        <f t="shared" si="15"/>
        <v>2800</v>
      </c>
      <c r="H342" s="19">
        <f>H343</f>
        <v>0</v>
      </c>
    </row>
    <row r="343" spans="1:8" ht="60">
      <c r="A343" s="18" t="s">
        <v>744</v>
      </c>
      <c r="B343" s="17" t="s">
        <v>118</v>
      </c>
      <c r="C343" s="17" t="s">
        <v>1342</v>
      </c>
      <c r="D343" s="17" t="s">
        <v>1409</v>
      </c>
      <c r="E343" s="17" t="s">
        <v>467</v>
      </c>
      <c r="F343" s="20">
        <v>500</v>
      </c>
      <c r="G343" s="19">
        <f t="shared" si="15"/>
        <v>500</v>
      </c>
      <c r="H343" s="19"/>
    </row>
    <row r="344" spans="1:8" ht="72">
      <c r="A344" s="18" t="s">
        <v>745</v>
      </c>
      <c r="B344" s="17" t="s">
        <v>118</v>
      </c>
      <c r="C344" s="17" t="s">
        <v>1342</v>
      </c>
      <c r="D344" s="17" t="s">
        <v>817</v>
      </c>
      <c r="E344" s="17" t="s">
        <v>467</v>
      </c>
      <c r="F344" s="20">
        <f>500+300</f>
        <v>800</v>
      </c>
      <c r="G344" s="19">
        <f>F344-H344</f>
        <v>800</v>
      </c>
      <c r="H344" s="19"/>
    </row>
    <row r="345" spans="1:8" ht="24">
      <c r="A345" s="158" t="s">
        <v>1189</v>
      </c>
      <c r="B345" s="17" t="s">
        <v>118</v>
      </c>
      <c r="C345" s="17" t="s">
        <v>1342</v>
      </c>
      <c r="D345" s="17" t="s">
        <v>614</v>
      </c>
      <c r="E345" s="17" t="s">
        <v>1190</v>
      </c>
      <c r="F345" s="19">
        <f>F346</f>
        <v>1500</v>
      </c>
      <c r="G345" s="19">
        <f>F345</f>
        <v>1500</v>
      </c>
      <c r="H345" s="19"/>
    </row>
    <row r="346" spans="1:8" ht="138" customHeight="1">
      <c r="A346" s="298" t="s">
        <v>938</v>
      </c>
      <c r="B346" s="17" t="s">
        <v>118</v>
      </c>
      <c r="C346" s="17" t="s">
        <v>1342</v>
      </c>
      <c r="D346" s="17" t="s">
        <v>614</v>
      </c>
      <c r="E346" s="17" t="s">
        <v>467</v>
      </c>
      <c r="F346" s="20">
        <v>1500</v>
      </c>
      <c r="G346" s="19">
        <f>F346</f>
        <v>1500</v>
      </c>
      <c r="H346" s="19"/>
    </row>
    <row r="347" spans="1:8" ht="25.5">
      <c r="A347" s="24" t="s">
        <v>1341</v>
      </c>
      <c r="B347" s="25" t="s">
        <v>1336</v>
      </c>
      <c r="C347" s="25"/>
      <c r="D347" s="26"/>
      <c r="E347" s="26"/>
      <c r="F347" s="22">
        <f>F348+F362+F383</f>
        <v>557224.5</v>
      </c>
      <c r="G347" s="22">
        <f t="shared" si="15"/>
        <v>557224.5</v>
      </c>
      <c r="H347" s="22">
        <f>H348+H362+H383</f>
        <v>0</v>
      </c>
    </row>
    <row r="348" spans="1:8" ht="15">
      <c r="A348" s="31" t="s">
        <v>658</v>
      </c>
      <c r="B348" s="26" t="s">
        <v>1336</v>
      </c>
      <c r="C348" s="26" t="s">
        <v>184</v>
      </c>
      <c r="D348" s="26"/>
      <c r="E348" s="26"/>
      <c r="F348" s="19">
        <f>F349+F357</f>
        <v>92096.1</v>
      </c>
      <c r="G348" s="19">
        <f t="shared" si="15"/>
        <v>92096.1</v>
      </c>
      <c r="H348" s="19">
        <f>H349</f>
        <v>0</v>
      </c>
    </row>
    <row r="349" spans="1:8" ht="36">
      <c r="A349" s="33" t="s">
        <v>291</v>
      </c>
      <c r="B349" s="26" t="s">
        <v>1336</v>
      </c>
      <c r="C349" s="26" t="s">
        <v>184</v>
      </c>
      <c r="D349" s="26" t="s">
        <v>1293</v>
      </c>
      <c r="E349" s="26"/>
      <c r="F349" s="19">
        <f>F350+F354</f>
        <v>65047.6</v>
      </c>
      <c r="G349" s="19">
        <f t="shared" si="15"/>
        <v>65047.6</v>
      </c>
      <c r="H349" s="19"/>
    </row>
    <row r="350" spans="1:8" ht="55.5" customHeight="1">
      <c r="A350" s="36" t="s">
        <v>400</v>
      </c>
      <c r="B350" s="26" t="s">
        <v>1336</v>
      </c>
      <c r="C350" s="26" t="s">
        <v>184</v>
      </c>
      <c r="D350" s="26" t="s">
        <v>151</v>
      </c>
      <c r="E350" s="26" t="s">
        <v>1204</v>
      </c>
      <c r="F350" s="19">
        <f>F351</f>
        <v>32556.5</v>
      </c>
      <c r="G350" s="19">
        <f t="shared" si="15"/>
        <v>32556.5</v>
      </c>
      <c r="H350" s="19">
        <f>H351</f>
        <v>0</v>
      </c>
    </row>
    <row r="351" spans="1:8" ht="15">
      <c r="A351" s="158" t="s">
        <v>1189</v>
      </c>
      <c r="B351" s="26" t="s">
        <v>1336</v>
      </c>
      <c r="C351" s="26" t="s">
        <v>184</v>
      </c>
      <c r="D351" s="26" t="s">
        <v>152</v>
      </c>
      <c r="E351" s="26" t="s">
        <v>1190</v>
      </c>
      <c r="F351" s="19">
        <f>F352+F353</f>
        <v>32556.5</v>
      </c>
      <c r="G351" s="19">
        <f t="shared" si="15"/>
        <v>32556.5</v>
      </c>
      <c r="H351" s="19">
        <f>H352</f>
        <v>0</v>
      </c>
    </row>
    <row r="352" spans="1:8" ht="48">
      <c r="A352" s="36" t="s">
        <v>415</v>
      </c>
      <c r="B352" s="26" t="s">
        <v>1336</v>
      </c>
      <c r="C352" s="26" t="s">
        <v>184</v>
      </c>
      <c r="D352" s="26" t="s">
        <v>152</v>
      </c>
      <c r="E352" s="26" t="s">
        <v>467</v>
      </c>
      <c r="F352" s="20">
        <f>10000-275.4+704</f>
        <v>10428.6</v>
      </c>
      <c r="G352" s="19">
        <f t="shared" si="15"/>
        <v>10428.6</v>
      </c>
      <c r="H352" s="19"/>
    </row>
    <row r="353" spans="1:8" ht="36">
      <c r="A353" s="36" t="s">
        <v>1096</v>
      </c>
      <c r="B353" s="26" t="s">
        <v>1336</v>
      </c>
      <c r="C353" s="26" t="s">
        <v>184</v>
      </c>
      <c r="D353" s="26" t="s">
        <v>152</v>
      </c>
      <c r="E353" s="26" t="s">
        <v>467</v>
      </c>
      <c r="F353" s="20">
        <v>22127.9</v>
      </c>
      <c r="G353" s="19">
        <f t="shared" si="15"/>
        <v>22127.9</v>
      </c>
      <c r="H353" s="19"/>
    </row>
    <row r="354" spans="1:8" ht="42.75" customHeight="1">
      <c r="A354" s="36" t="s">
        <v>1480</v>
      </c>
      <c r="B354" s="17" t="s">
        <v>1336</v>
      </c>
      <c r="C354" s="17" t="s">
        <v>184</v>
      </c>
      <c r="D354" s="17" t="s">
        <v>153</v>
      </c>
      <c r="E354" s="26" t="s">
        <v>1204</v>
      </c>
      <c r="F354" s="19">
        <f>F355</f>
        <v>32491.1</v>
      </c>
      <c r="G354" s="19">
        <f t="shared" si="15"/>
        <v>32491.1</v>
      </c>
      <c r="H354" s="19">
        <f>H355</f>
        <v>0</v>
      </c>
    </row>
    <row r="355" spans="1:8" ht="24" customHeight="1">
      <c r="A355" s="158" t="s">
        <v>486</v>
      </c>
      <c r="B355" s="17" t="s">
        <v>1336</v>
      </c>
      <c r="C355" s="17" t="s">
        <v>184</v>
      </c>
      <c r="D355" s="17" t="s">
        <v>153</v>
      </c>
      <c r="E355" s="26" t="s">
        <v>402</v>
      </c>
      <c r="F355" s="19">
        <f>F356</f>
        <v>32491.1</v>
      </c>
      <c r="G355" s="19">
        <f t="shared" si="15"/>
        <v>32491.1</v>
      </c>
      <c r="H355" s="19">
        <f>H356</f>
        <v>0</v>
      </c>
    </row>
    <row r="356" spans="1:8" ht="33" customHeight="1">
      <c r="A356" s="158" t="s">
        <v>827</v>
      </c>
      <c r="B356" s="17" t="s">
        <v>1336</v>
      </c>
      <c r="C356" s="17" t="s">
        <v>184</v>
      </c>
      <c r="D356" s="17" t="s">
        <v>153</v>
      </c>
      <c r="E356" s="26" t="s">
        <v>1333</v>
      </c>
      <c r="F356" s="20">
        <f>38000-5508.9</f>
        <v>32491.1</v>
      </c>
      <c r="G356" s="19">
        <f t="shared" si="15"/>
        <v>32491.1</v>
      </c>
      <c r="H356" s="19"/>
    </row>
    <row r="357" spans="1:8" ht="24">
      <c r="A357" s="33" t="s">
        <v>328</v>
      </c>
      <c r="B357" s="17" t="s">
        <v>1336</v>
      </c>
      <c r="C357" s="17" t="s">
        <v>184</v>
      </c>
      <c r="D357" s="17" t="s">
        <v>458</v>
      </c>
      <c r="E357" s="26"/>
      <c r="F357" s="19">
        <f>F358</f>
        <v>27048.5</v>
      </c>
      <c r="G357" s="19">
        <f t="shared" si="15"/>
        <v>27048.5</v>
      </c>
      <c r="H357" s="19"/>
    </row>
    <row r="358" spans="1:8" ht="108.75" customHeight="1">
      <c r="A358" s="36" t="s">
        <v>941</v>
      </c>
      <c r="B358" s="17" t="s">
        <v>1336</v>
      </c>
      <c r="C358" s="17" t="s">
        <v>184</v>
      </c>
      <c r="D358" s="17" t="s">
        <v>943</v>
      </c>
      <c r="E358" s="26"/>
      <c r="F358" s="19">
        <f>F359</f>
        <v>27048.5</v>
      </c>
      <c r="G358" s="19">
        <f t="shared" si="15"/>
        <v>27048.5</v>
      </c>
      <c r="H358" s="19"/>
    </row>
    <row r="359" spans="1:8" ht="24" customHeight="1">
      <c r="A359" s="158" t="s">
        <v>486</v>
      </c>
      <c r="B359" s="17" t="s">
        <v>1336</v>
      </c>
      <c r="C359" s="17" t="s">
        <v>184</v>
      </c>
      <c r="D359" s="17" t="s">
        <v>1022</v>
      </c>
      <c r="E359" s="26" t="s">
        <v>402</v>
      </c>
      <c r="F359" s="19">
        <f>F360</f>
        <v>27048.5</v>
      </c>
      <c r="G359" s="19">
        <f t="shared" si="15"/>
        <v>27048.5</v>
      </c>
      <c r="H359" s="19"/>
    </row>
    <row r="360" spans="1:8" ht="24">
      <c r="A360" s="158" t="s">
        <v>827</v>
      </c>
      <c r="B360" s="17" t="s">
        <v>1336</v>
      </c>
      <c r="C360" s="17" t="s">
        <v>184</v>
      </c>
      <c r="D360" s="17" t="s">
        <v>1022</v>
      </c>
      <c r="E360" s="26" t="s">
        <v>1333</v>
      </c>
      <c r="F360" s="20">
        <f>9679.3+4592.3+6888.4+1174+6888.4+0.1-1174-1000</f>
        <v>27048.5</v>
      </c>
      <c r="G360" s="19">
        <f t="shared" si="15"/>
        <v>27048.5</v>
      </c>
      <c r="H360" s="19"/>
    </row>
    <row r="361" spans="1:8" ht="24" hidden="1">
      <c r="A361" s="158" t="s">
        <v>233</v>
      </c>
      <c r="B361" s="17" t="s">
        <v>1336</v>
      </c>
      <c r="C361" s="17" t="s">
        <v>184</v>
      </c>
      <c r="D361" s="17" t="s">
        <v>1022</v>
      </c>
      <c r="E361" s="26" t="s">
        <v>234</v>
      </c>
      <c r="F361" s="20">
        <v>8430</v>
      </c>
      <c r="G361" s="19">
        <f t="shared" si="15"/>
        <v>8430</v>
      </c>
      <c r="H361" s="19"/>
    </row>
    <row r="362" spans="1:8" ht="15">
      <c r="A362" s="5" t="s">
        <v>1102</v>
      </c>
      <c r="B362" s="17" t="s">
        <v>1336</v>
      </c>
      <c r="C362" s="17" t="s">
        <v>1154</v>
      </c>
      <c r="D362" s="17"/>
      <c r="E362" s="17"/>
      <c r="F362" s="19">
        <f>F363</f>
        <v>256864.3</v>
      </c>
      <c r="G362" s="19">
        <f>F362-H362</f>
        <v>256864.3</v>
      </c>
      <c r="H362" s="19">
        <f>H363+H384</f>
        <v>0</v>
      </c>
    </row>
    <row r="363" spans="1:8" ht="33.75" customHeight="1">
      <c r="A363" s="32" t="s">
        <v>291</v>
      </c>
      <c r="B363" s="17" t="s">
        <v>1336</v>
      </c>
      <c r="C363" s="17" t="s">
        <v>1154</v>
      </c>
      <c r="D363" s="17" t="s">
        <v>1293</v>
      </c>
      <c r="E363" s="17"/>
      <c r="F363" s="19">
        <f>F364+F380</f>
        <v>256864.3</v>
      </c>
      <c r="G363" s="19">
        <f>F363-H363</f>
        <v>256864.3</v>
      </c>
      <c r="H363" s="19">
        <f>SUM(H364:H390)</f>
        <v>0</v>
      </c>
    </row>
    <row r="364" spans="1:8" ht="43.5" customHeight="1">
      <c r="A364" s="18" t="s">
        <v>154</v>
      </c>
      <c r="B364" s="17" t="s">
        <v>1336</v>
      </c>
      <c r="C364" s="17" t="s">
        <v>1154</v>
      </c>
      <c r="D364" s="17" t="s">
        <v>898</v>
      </c>
      <c r="E364" s="17" t="s">
        <v>1204</v>
      </c>
      <c r="F364" s="19">
        <f>F365+F368+F379</f>
        <v>246864.3</v>
      </c>
      <c r="G364" s="19">
        <f>F364-H364</f>
        <v>246864.3</v>
      </c>
      <c r="H364" s="19">
        <f>H365</f>
        <v>0</v>
      </c>
    </row>
    <row r="365" spans="1:8" ht="17.25" customHeight="1">
      <c r="A365" s="158" t="s">
        <v>1189</v>
      </c>
      <c r="B365" s="17" t="s">
        <v>1336</v>
      </c>
      <c r="C365" s="17" t="s">
        <v>1154</v>
      </c>
      <c r="D365" s="26" t="s">
        <v>156</v>
      </c>
      <c r="E365" s="17" t="s">
        <v>1190</v>
      </c>
      <c r="F365" s="19">
        <f>F366</f>
        <v>37376</v>
      </c>
      <c r="G365" s="19">
        <f aca="true" t="shared" si="17" ref="G365:G445">F365-H365</f>
        <v>37376</v>
      </c>
      <c r="H365" s="19">
        <f>H366</f>
        <v>0</v>
      </c>
    </row>
    <row r="366" spans="1:8" ht="53.25" customHeight="1">
      <c r="A366" s="36" t="s">
        <v>155</v>
      </c>
      <c r="B366" s="17" t="s">
        <v>1336</v>
      </c>
      <c r="C366" s="17" t="s">
        <v>1154</v>
      </c>
      <c r="D366" s="26" t="s">
        <v>156</v>
      </c>
      <c r="E366" s="17" t="s">
        <v>467</v>
      </c>
      <c r="F366" s="20">
        <f>37375.9+0.1</f>
        <v>37376</v>
      </c>
      <c r="G366" s="19">
        <f t="shared" si="17"/>
        <v>37376</v>
      </c>
      <c r="H366" s="19"/>
    </row>
    <row r="367" spans="1:8" ht="45.75" customHeight="1">
      <c r="A367" s="36" t="s">
        <v>270</v>
      </c>
      <c r="B367" s="17" t="s">
        <v>1336</v>
      </c>
      <c r="C367" s="17" t="s">
        <v>1154</v>
      </c>
      <c r="D367" s="26" t="s">
        <v>407</v>
      </c>
      <c r="E367" s="17" t="s">
        <v>312</v>
      </c>
      <c r="F367" s="19">
        <f>F368</f>
        <v>205975.4</v>
      </c>
      <c r="G367" s="19">
        <f t="shared" si="17"/>
        <v>205975.4</v>
      </c>
      <c r="H367" s="19"/>
    </row>
    <row r="368" spans="1:8" ht="64.5" customHeight="1">
      <c r="A368" s="36" t="s">
        <v>1005</v>
      </c>
      <c r="B368" s="17" t="s">
        <v>1336</v>
      </c>
      <c r="C368" s="17" t="s">
        <v>1154</v>
      </c>
      <c r="D368" s="26" t="s">
        <v>407</v>
      </c>
      <c r="E368" s="17" t="s">
        <v>1174</v>
      </c>
      <c r="F368" s="19">
        <f>F369+F370+F372+F373+F374+F375+F376+F377+F378+F371</f>
        <v>205975.4</v>
      </c>
      <c r="G368" s="19">
        <f t="shared" si="17"/>
        <v>205975.4</v>
      </c>
      <c r="H368" s="19"/>
    </row>
    <row r="369" spans="1:8" ht="27" customHeight="1">
      <c r="A369" s="36" t="s">
        <v>533</v>
      </c>
      <c r="B369" s="17" t="s">
        <v>1336</v>
      </c>
      <c r="C369" s="17" t="s">
        <v>1154</v>
      </c>
      <c r="D369" s="26" t="s">
        <v>407</v>
      </c>
      <c r="E369" s="17" t="s">
        <v>1174</v>
      </c>
      <c r="F369" s="20">
        <v>100000</v>
      </c>
      <c r="G369" s="19">
        <f t="shared" si="17"/>
        <v>100000</v>
      </c>
      <c r="H369" s="19"/>
    </row>
    <row r="370" spans="1:8" ht="34.5" customHeight="1" hidden="1">
      <c r="A370" s="36" t="s">
        <v>534</v>
      </c>
      <c r="B370" s="17" t="s">
        <v>1336</v>
      </c>
      <c r="C370" s="17" t="s">
        <v>1154</v>
      </c>
      <c r="D370" s="26" t="s">
        <v>407</v>
      </c>
      <c r="E370" s="17" t="s">
        <v>1174</v>
      </c>
      <c r="F370" s="20">
        <v>0</v>
      </c>
      <c r="G370" s="19">
        <f t="shared" si="17"/>
        <v>0</v>
      </c>
      <c r="H370" s="19"/>
    </row>
    <row r="371" spans="1:8" ht="39.75" customHeight="1" hidden="1">
      <c r="A371" s="295" t="s">
        <v>914</v>
      </c>
      <c r="B371" s="17" t="s">
        <v>1336</v>
      </c>
      <c r="C371" s="17" t="s">
        <v>1154</v>
      </c>
      <c r="D371" s="26" t="s">
        <v>407</v>
      </c>
      <c r="E371" s="17" t="s">
        <v>1174</v>
      </c>
      <c r="F371" s="20">
        <v>0</v>
      </c>
      <c r="G371" s="19">
        <f t="shared" si="17"/>
        <v>0</v>
      </c>
      <c r="H371" s="19"/>
    </row>
    <row r="372" spans="1:8" ht="42.75" customHeight="1">
      <c r="A372" s="36" t="s">
        <v>535</v>
      </c>
      <c r="B372" s="17" t="s">
        <v>1336</v>
      </c>
      <c r="C372" s="17" t="s">
        <v>1154</v>
      </c>
      <c r="D372" s="26" t="s">
        <v>407</v>
      </c>
      <c r="E372" s="17" t="s">
        <v>1174</v>
      </c>
      <c r="F372" s="20">
        <v>34154</v>
      </c>
      <c r="G372" s="19">
        <f t="shared" si="17"/>
        <v>34154</v>
      </c>
      <c r="H372" s="19"/>
    </row>
    <row r="373" spans="1:8" ht="42.75" customHeight="1">
      <c r="A373" s="36" t="s">
        <v>577</v>
      </c>
      <c r="B373" s="17" t="s">
        <v>1336</v>
      </c>
      <c r="C373" s="17" t="s">
        <v>1154</v>
      </c>
      <c r="D373" s="26" t="s">
        <v>407</v>
      </c>
      <c r="E373" s="17" t="s">
        <v>1174</v>
      </c>
      <c r="F373" s="20">
        <v>1717.9</v>
      </c>
      <c r="G373" s="19">
        <f t="shared" si="17"/>
        <v>1717.9</v>
      </c>
      <c r="H373" s="19"/>
    </row>
    <row r="374" spans="1:8" ht="24.75" customHeight="1">
      <c r="A374" s="36" t="s">
        <v>173</v>
      </c>
      <c r="B374" s="17" t="s">
        <v>1336</v>
      </c>
      <c r="C374" s="17" t="s">
        <v>1154</v>
      </c>
      <c r="D374" s="26" t="s">
        <v>407</v>
      </c>
      <c r="E374" s="17" t="s">
        <v>1174</v>
      </c>
      <c r="F374" s="20">
        <v>5000</v>
      </c>
      <c r="G374" s="19">
        <f t="shared" si="17"/>
        <v>5000</v>
      </c>
      <c r="H374" s="19"/>
    </row>
    <row r="375" spans="1:8" ht="40.5" customHeight="1">
      <c r="A375" s="36" t="s">
        <v>167</v>
      </c>
      <c r="B375" s="17" t="s">
        <v>1336</v>
      </c>
      <c r="C375" s="17" t="s">
        <v>1154</v>
      </c>
      <c r="D375" s="26" t="s">
        <v>407</v>
      </c>
      <c r="E375" s="17" t="s">
        <v>1174</v>
      </c>
      <c r="F375" s="20">
        <v>4173.7</v>
      </c>
      <c r="G375" s="19">
        <f t="shared" si="17"/>
        <v>4173.7</v>
      </c>
      <c r="H375" s="19"/>
    </row>
    <row r="376" spans="1:8" ht="40.5" customHeight="1">
      <c r="A376" s="36" t="s">
        <v>587</v>
      </c>
      <c r="B376" s="17" t="s">
        <v>1336</v>
      </c>
      <c r="C376" s="17" t="s">
        <v>1154</v>
      </c>
      <c r="D376" s="26" t="s">
        <v>407</v>
      </c>
      <c r="E376" s="17" t="s">
        <v>1174</v>
      </c>
      <c r="F376" s="20">
        <v>929.8</v>
      </c>
      <c r="G376" s="19">
        <f t="shared" si="17"/>
        <v>929.8</v>
      </c>
      <c r="H376" s="19"/>
    </row>
    <row r="377" spans="1:8" ht="40.5" customHeight="1">
      <c r="A377" s="36" t="s">
        <v>216</v>
      </c>
      <c r="B377" s="17" t="s">
        <v>1336</v>
      </c>
      <c r="C377" s="17" t="s">
        <v>1154</v>
      </c>
      <c r="D377" s="26" t="s">
        <v>407</v>
      </c>
      <c r="E377" s="17" t="s">
        <v>1174</v>
      </c>
      <c r="F377" s="20">
        <v>35000</v>
      </c>
      <c r="G377" s="19">
        <f t="shared" si="17"/>
        <v>35000</v>
      </c>
      <c r="H377" s="19"/>
    </row>
    <row r="378" spans="1:8" ht="40.5" customHeight="1">
      <c r="A378" s="36" t="s">
        <v>992</v>
      </c>
      <c r="B378" s="17" t="s">
        <v>1336</v>
      </c>
      <c r="C378" s="17" t="s">
        <v>1154</v>
      </c>
      <c r="D378" s="26" t="s">
        <v>407</v>
      </c>
      <c r="E378" s="17" t="s">
        <v>1174</v>
      </c>
      <c r="F378" s="20">
        <v>25000</v>
      </c>
      <c r="G378" s="19">
        <f t="shared" si="17"/>
        <v>25000</v>
      </c>
      <c r="H378" s="19"/>
    </row>
    <row r="379" spans="1:8" ht="63.75" customHeight="1">
      <c r="A379" s="36" t="s">
        <v>1371</v>
      </c>
      <c r="B379" s="17" t="s">
        <v>1336</v>
      </c>
      <c r="C379" s="17" t="s">
        <v>1154</v>
      </c>
      <c r="D379" s="26" t="s">
        <v>1370</v>
      </c>
      <c r="E379" s="17" t="s">
        <v>1333</v>
      </c>
      <c r="F379" s="20">
        <v>3512.9</v>
      </c>
      <c r="G379" s="19">
        <f t="shared" si="17"/>
        <v>3512.9</v>
      </c>
      <c r="H379" s="19"/>
    </row>
    <row r="380" spans="1:8" ht="40.5" customHeight="1">
      <c r="A380" s="36" t="s">
        <v>1135</v>
      </c>
      <c r="B380" s="17" t="s">
        <v>1336</v>
      </c>
      <c r="C380" s="17" t="s">
        <v>1154</v>
      </c>
      <c r="D380" s="26" t="s">
        <v>536</v>
      </c>
      <c r="E380" s="17" t="s">
        <v>1204</v>
      </c>
      <c r="F380" s="19">
        <f>F381</f>
        <v>10000</v>
      </c>
      <c r="G380" s="19">
        <f t="shared" si="17"/>
        <v>10000</v>
      </c>
      <c r="H380" s="19"/>
    </row>
    <row r="381" spans="1:8" ht="40.5" customHeight="1">
      <c r="A381" s="158" t="s">
        <v>486</v>
      </c>
      <c r="B381" s="17" t="s">
        <v>1336</v>
      </c>
      <c r="C381" s="17" t="s">
        <v>1154</v>
      </c>
      <c r="D381" s="26" t="s">
        <v>536</v>
      </c>
      <c r="E381" s="17" t="s">
        <v>402</v>
      </c>
      <c r="F381" s="19">
        <f>F382</f>
        <v>10000</v>
      </c>
      <c r="G381" s="19">
        <f t="shared" si="17"/>
        <v>10000</v>
      </c>
      <c r="H381" s="19"/>
    </row>
    <row r="382" spans="1:8" ht="40.5" customHeight="1">
      <c r="A382" s="158" t="s">
        <v>827</v>
      </c>
      <c r="B382" s="17" t="s">
        <v>1336</v>
      </c>
      <c r="C382" s="17" t="s">
        <v>1154</v>
      </c>
      <c r="D382" s="26" t="s">
        <v>536</v>
      </c>
      <c r="E382" s="17" t="s">
        <v>1333</v>
      </c>
      <c r="F382" s="20">
        <v>10000</v>
      </c>
      <c r="G382" s="19">
        <f t="shared" si="17"/>
        <v>10000</v>
      </c>
      <c r="H382" s="19"/>
    </row>
    <row r="383" spans="1:8" ht="18.75" customHeight="1">
      <c r="A383" s="78" t="s">
        <v>304</v>
      </c>
      <c r="B383" s="17" t="s">
        <v>1336</v>
      </c>
      <c r="C383" s="17" t="s">
        <v>1340</v>
      </c>
      <c r="D383" s="26"/>
      <c r="E383" s="17"/>
      <c r="F383" s="19">
        <f>F384+F430</f>
        <v>208264.1</v>
      </c>
      <c r="G383" s="19">
        <f t="shared" si="17"/>
        <v>208264.1</v>
      </c>
      <c r="H383" s="19"/>
    </row>
    <row r="384" spans="1:8" ht="30.75" customHeight="1">
      <c r="A384" s="33" t="s">
        <v>291</v>
      </c>
      <c r="B384" s="17" t="s">
        <v>1336</v>
      </c>
      <c r="C384" s="17" t="s">
        <v>1340</v>
      </c>
      <c r="D384" s="17" t="s">
        <v>1293</v>
      </c>
      <c r="E384" s="17"/>
      <c r="F384" s="19">
        <f>F385+F389+F403+F409+F413</f>
        <v>204714.1</v>
      </c>
      <c r="G384" s="19">
        <f t="shared" si="17"/>
        <v>204714.1</v>
      </c>
      <c r="H384" s="19"/>
    </row>
    <row r="385" spans="1:8" ht="55.5" customHeight="1">
      <c r="A385" s="64" t="s">
        <v>400</v>
      </c>
      <c r="B385" s="17" t="s">
        <v>1336</v>
      </c>
      <c r="C385" s="17" t="s">
        <v>1340</v>
      </c>
      <c r="D385" s="17" t="s">
        <v>151</v>
      </c>
      <c r="E385" s="17"/>
      <c r="F385" s="19">
        <f>F386</f>
        <v>2802.5</v>
      </c>
      <c r="G385" s="19">
        <f>F385-H385</f>
        <v>2802.5</v>
      </c>
      <c r="H385" s="19"/>
    </row>
    <row r="386" spans="1:8" ht="36">
      <c r="A386" s="29" t="s">
        <v>1418</v>
      </c>
      <c r="B386" s="17" t="s">
        <v>1336</v>
      </c>
      <c r="C386" s="17" t="s">
        <v>1340</v>
      </c>
      <c r="D386" s="17" t="s">
        <v>162</v>
      </c>
      <c r="E386" s="17" t="s">
        <v>1204</v>
      </c>
      <c r="F386" s="19">
        <f>F387</f>
        <v>2802.5</v>
      </c>
      <c r="G386" s="19">
        <f>F386-H386</f>
        <v>2802.5</v>
      </c>
      <c r="H386" s="19"/>
    </row>
    <row r="387" spans="1:8" ht="24">
      <c r="A387" s="158" t="s">
        <v>486</v>
      </c>
      <c r="B387" s="17" t="s">
        <v>1336</v>
      </c>
      <c r="C387" s="17" t="s">
        <v>1340</v>
      </c>
      <c r="D387" s="17" t="s">
        <v>162</v>
      </c>
      <c r="E387" s="17" t="s">
        <v>402</v>
      </c>
      <c r="F387" s="19">
        <f>F388</f>
        <v>2802.5</v>
      </c>
      <c r="G387" s="19">
        <f>F387-H387</f>
        <v>2802.5</v>
      </c>
      <c r="H387" s="19"/>
    </row>
    <row r="388" spans="1:8" ht="24">
      <c r="A388" s="158" t="s">
        <v>471</v>
      </c>
      <c r="B388" s="17" t="s">
        <v>1336</v>
      </c>
      <c r="C388" s="17" t="s">
        <v>1340</v>
      </c>
      <c r="D388" s="17" t="s">
        <v>162</v>
      </c>
      <c r="E388" s="17" t="s">
        <v>1333</v>
      </c>
      <c r="F388" s="20">
        <f>2000+1231.1-428.6</f>
        <v>2802.5</v>
      </c>
      <c r="G388" s="19">
        <f>F388-H388</f>
        <v>2802.5</v>
      </c>
      <c r="H388" s="19"/>
    </row>
    <row r="389" spans="1:8" ht="36">
      <c r="A389" s="36" t="s">
        <v>1292</v>
      </c>
      <c r="B389" s="17" t="s">
        <v>1336</v>
      </c>
      <c r="C389" s="17" t="s">
        <v>1340</v>
      </c>
      <c r="D389" s="17" t="s">
        <v>1294</v>
      </c>
      <c r="E389" s="17"/>
      <c r="F389" s="19">
        <f>F390</f>
        <v>103952.7</v>
      </c>
      <c r="G389" s="19">
        <f>F389-H389</f>
        <v>103952.7</v>
      </c>
      <c r="H389" s="19"/>
    </row>
    <row r="390" spans="1:8" ht="24">
      <c r="A390" s="18" t="s">
        <v>305</v>
      </c>
      <c r="B390" s="17" t="s">
        <v>1336</v>
      </c>
      <c r="C390" s="17" t="s">
        <v>1340</v>
      </c>
      <c r="D390" s="17" t="s">
        <v>157</v>
      </c>
      <c r="E390" s="17" t="s">
        <v>1204</v>
      </c>
      <c r="F390" s="19">
        <f>F392+F393</f>
        <v>103952.7</v>
      </c>
      <c r="G390" s="19">
        <f t="shared" si="17"/>
        <v>103952.7</v>
      </c>
      <c r="H390" s="19">
        <v>0</v>
      </c>
    </row>
    <row r="391" spans="1:8" ht="24">
      <c r="A391" s="158" t="s">
        <v>486</v>
      </c>
      <c r="B391" s="17" t="s">
        <v>1336</v>
      </c>
      <c r="C391" s="17" t="s">
        <v>1340</v>
      </c>
      <c r="D391" s="17" t="s">
        <v>157</v>
      </c>
      <c r="E391" s="17" t="s">
        <v>402</v>
      </c>
      <c r="F391" s="19">
        <f>F392</f>
        <v>85000</v>
      </c>
      <c r="G391" s="19">
        <f t="shared" si="17"/>
        <v>85000</v>
      </c>
      <c r="H391" s="19"/>
    </row>
    <row r="392" spans="1:8" ht="24">
      <c r="A392" s="158" t="s">
        <v>471</v>
      </c>
      <c r="B392" s="17" t="s">
        <v>1336</v>
      </c>
      <c r="C392" s="17" t="s">
        <v>1340</v>
      </c>
      <c r="D392" s="17" t="s">
        <v>157</v>
      </c>
      <c r="E392" s="17" t="s">
        <v>1333</v>
      </c>
      <c r="F392" s="20">
        <v>85000</v>
      </c>
      <c r="G392" s="19">
        <f t="shared" si="17"/>
        <v>85000</v>
      </c>
      <c r="H392" s="19"/>
    </row>
    <row r="393" spans="1:8" ht="36">
      <c r="A393" s="36" t="s">
        <v>270</v>
      </c>
      <c r="B393" s="17" t="s">
        <v>1336</v>
      </c>
      <c r="C393" s="17" t="s">
        <v>1340</v>
      </c>
      <c r="D393" s="17" t="s">
        <v>157</v>
      </c>
      <c r="E393" s="17" t="s">
        <v>312</v>
      </c>
      <c r="F393" s="19">
        <f>F394</f>
        <v>18952.7</v>
      </c>
      <c r="G393" s="19">
        <f t="shared" si="17"/>
        <v>18952.7</v>
      </c>
      <c r="H393" s="19"/>
    </row>
    <row r="394" spans="1:8" ht="60">
      <c r="A394" s="36" t="s">
        <v>1005</v>
      </c>
      <c r="B394" s="17" t="s">
        <v>1336</v>
      </c>
      <c r="C394" s="17" t="s">
        <v>1340</v>
      </c>
      <c r="D394" s="17" t="s">
        <v>157</v>
      </c>
      <c r="E394" s="17" t="s">
        <v>1174</v>
      </c>
      <c r="F394" s="19">
        <f>F395+F396+F397+F399+F401+F402+F400</f>
        <v>18952.7</v>
      </c>
      <c r="G394" s="19">
        <f t="shared" si="17"/>
        <v>18952.7</v>
      </c>
      <c r="H394" s="19"/>
    </row>
    <row r="395" spans="1:8" ht="51" customHeight="1">
      <c r="A395" s="36" t="s">
        <v>424</v>
      </c>
      <c r="B395" s="17" t="s">
        <v>1336</v>
      </c>
      <c r="C395" s="17" t="s">
        <v>1340</v>
      </c>
      <c r="D395" s="17" t="s">
        <v>157</v>
      </c>
      <c r="E395" s="17" t="s">
        <v>1174</v>
      </c>
      <c r="F395" s="20">
        <f>10519.6-0.1</f>
        <v>10519.5</v>
      </c>
      <c r="G395" s="19">
        <f t="shared" si="17"/>
        <v>10519.5</v>
      </c>
      <c r="H395" s="19"/>
    </row>
    <row r="396" spans="1:8" ht="36">
      <c r="A396" s="36" t="s">
        <v>425</v>
      </c>
      <c r="B396" s="17" t="s">
        <v>1336</v>
      </c>
      <c r="C396" s="17" t="s">
        <v>1340</v>
      </c>
      <c r="D396" s="17" t="s">
        <v>157</v>
      </c>
      <c r="E396" s="17" t="s">
        <v>1174</v>
      </c>
      <c r="F396" s="20">
        <v>238.1</v>
      </c>
      <c r="G396" s="19">
        <f t="shared" si="17"/>
        <v>238.1</v>
      </c>
      <c r="H396" s="19"/>
    </row>
    <row r="397" spans="1:8" ht="48">
      <c r="A397" s="36" t="s">
        <v>566</v>
      </c>
      <c r="B397" s="17" t="s">
        <v>1336</v>
      </c>
      <c r="C397" s="17" t="s">
        <v>1340</v>
      </c>
      <c r="D397" s="17" t="s">
        <v>157</v>
      </c>
      <c r="E397" s="17" t="s">
        <v>1174</v>
      </c>
      <c r="F397" s="20">
        <v>205.1</v>
      </c>
      <c r="G397" s="19">
        <f t="shared" si="17"/>
        <v>205.1</v>
      </c>
      <c r="H397" s="19"/>
    </row>
    <row r="398" spans="1:8" ht="24" hidden="1">
      <c r="A398" s="158" t="s">
        <v>233</v>
      </c>
      <c r="B398" s="17" t="s">
        <v>1336</v>
      </c>
      <c r="C398" s="17" t="s">
        <v>1340</v>
      </c>
      <c r="D398" s="17" t="s">
        <v>157</v>
      </c>
      <c r="E398" s="17" t="s">
        <v>234</v>
      </c>
      <c r="F398" s="20"/>
      <c r="G398" s="19">
        <f t="shared" si="17"/>
        <v>0</v>
      </c>
      <c r="H398" s="19"/>
    </row>
    <row r="399" spans="1:8" ht="48">
      <c r="A399" s="158" t="s">
        <v>642</v>
      </c>
      <c r="B399" s="17" t="s">
        <v>1336</v>
      </c>
      <c r="C399" s="17" t="s">
        <v>1340</v>
      </c>
      <c r="D399" s="17" t="s">
        <v>157</v>
      </c>
      <c r="E399" s="17" t="s">
        <v>1174</v>
      </c>
      <c r="F399" s="20">
        <v>294.4</v>
      </c>
      <c r="G399" s="19">
        <f t="shared" si="17"/>
        <v>294.4</v>
      </c>
      <c r="H399" s="19"/>
    </row>
    <row r="400" spans="1:8" ht="36" hidden="1">
      <c r="A400" s="36" t="s">
        <v>590</v>
      </c>
      <c r="B400" s="17" t="s">
        <v>1336</v>
      </c>
      <c r="C400" s="17" t="s">
        <v>1340</v>
      </c>
      <c r="D400" s="26" t="s">
        <v>407</v>
      </c>
      <c r="E400" s="17" t="s">
        <v>1174</v>
      </c>
      <c r="F400" s="20">
        <v>0</v>
      </c>
      <c r="G400" s="19">
        <f>F400-H400</f>
        <v>0</v>
      </c>
      <c r="H400" s="19"/>
    </row>
    <row r="401" spans="1:8" ht="24">
      <c r="A401" s="158" t="s">
        <v>295</v>
      </c>
      <c r="B401" s="17" t="s">
        <v>1336</v>
      </c>
      <c r="C401" s="17" t="s">
        <v>1340</v>
      </c>
      <c r="D401" s="17" t="s">
        <v>157</v>
      </c>
      <c r="E401" s="17" t="s">
        <v>1174</v>
      </c>
      <c r="F401" s="20">
        <v>1901</v>
      </c>
      <c r="G401" s="19">
        <f t="shared" si="17"/>
        <v>1901</v>
      </c>
      <c r="H401" s="19"/>
    </row>
    <row r="402" spans="1:8" ht="24">
      <c r="A402" s="158" t="s">
        <v>888</v>
      </c>
      <c r="B402" s="17" t="s">
        <v>1336</v>
      </c>
      <c r="C402" s="17" t="s">
        <v>1340</v>
      </c>
      <c r="D402" s="17" t="s">
        <v>157</v>
      </c>
      <c r="E402" s="17" t="s">
        <v>1174</v>
      </c>
      <c r="F402" s="20">
        <f>3392.5-0.1+2402.1+0.1</f>
        <v>5794.6</v>
      </c>
      <c r="G402" s="19">
        <f t="shared" si="17"/>
        <v>5794.6</v>
      </c>
      <c r="H402" s="19"/>
    </row>
    <row r="403" spans="1:8" ht="48">
      <c r="A403" s="36" t="s">
        <v>754</v>
      </c>
      <c r="B403" s="17" t="s">
        <v>1336</v>
      </c>
      <c r="C403" s="17" t="s">
        <v>1340</v>
      </c>
      <c r="D403" s="17" t="s">
        <v>158</v>
      </c>
      <c r="E403" s="17" t="s">
        <v>1204</v>
      </c>
      <c r="F403" s="19">
        <f>F404+F406</f>
        <v>11306.800000000001</v>
      </c>
      <c r="G403" s="19">
        <f t="shared" si="17"/>
        <v>11306.800000000001</v>
      </c>
      <c r="H403" s="19"/>
    </row>
    <row r="404" spans="1:8" ht="24">
      <c r="A404" s="158" t="s">
        <v>486</v>
      </c>
      <c r="B404" s="17" t="s">
        <v>1336</v>
      </c>
      <c r="C404" s="17" t="s">
        <v>1340</v>
      </c>
      <c r="D404" s="17" t="s">
        <v>158</v>
      </c>
      <c r="E404" s="17" t="s">
        <v>402</v>
      </c>
      <c r="F404" s="19">
        <f>F405</f>
        <v>1285.9</v>
      </c>
      <c r="G404" s="19">
        <f t="shared" si="17"/>
        <v>1285.9</v>
      </c>
      <c r="H404" s="19"/>
    </row>
    <row r="405" spans="1:8" ht="24">
      <c r="A405" s="158" t="s">
        <v>471</v>
      </c>
      <c r="B405" s="17" t="s">
        <v>1336</v>
      </c>
      <c r="C405" s="17" t="s">
        <v>1340</v>
      </c>
      <c r="D405" s="17" t="s">
        <v>158</v>
      </c>
      <c r="E405" s="17" t="s">
        <v>1333</v>
      </c>
      <c r="F405" s="20">
        <f>631.6+654.3</f>
        <v>1285.9</v>
      </c>
      <c r="G405" s="19">
        <f t="shared" si="17"/>
        <v>1285.9</v>
      </c>
      <c r="H405" s="19"/>
    </row>
    <row r="406" spans="1:8" ht="36">
      <c r="A406" s="36" t="s">
        <v>459</v>
      </c>
      <c r="B406" s="17" t="s">
        <v>1336</v>
      </c>
      <c r="C406" s="17" t="s">
        <v>1340</v>
      </c>
      <c r="D406" s="17" t="s">
        <v>158</v>
      </c>
      <c r="E406" s="17" t="s">
        <v>641</v>
      </c>
      <c r="F406" s="19">
        <f>F407</f>
        <v>10020.900000000001</v>
      </c>
      <c r="G406" s="19">
        <f t="shared" si="17"/>
        <v>10020.900000000001</v>
      </c>
      <c r="H406" s="19"/>
    </row>
    <row r="407" spans="1:8" ht="24">
      <c r="A407" s="18" t="s">
        <v>418</v>
      </c>
      <c r="B407" s="17" t="s">
        <v>1336</v>
      </c>
      <c r="C407" s="17" t="s">
        <v>1340</v>
      </c>
      <c r="D407" s="17" t="s">
        <v>158</v>
      </c>
      <c r="E407" s="17" t="s">
        <v>419</v>
      </c>
      <c r="F407" s="20">
        <f>13240+1013.2-3900-332.3</f>
        <v>10020.900000000001</v>
      </c>
      <c r="G407" s="19">
        <f t="shared" si="17"/>
        <v>10020.900000000001</v>
      </c>
      <c r="H407" s="19"/>
    </row>
    <row r="408" spans="1:8" ht="24" hidden="1">
      <c r="A408" s="18" t="s">
        <v>417</v>
      </c>
      <c r="B408" s="17" t="s">
        <v>1336</v>
      </c>
      <c r="C408" s="17" t="s">
        <v>1340</v>
      </c>
      <c r="D408" s="17" t="s">
        <v>158</v>
      </c>
      <c r="E408" s="17" t="s">
        <v>420</v>
      </c>
      <c r="F408" s="20">
        <f>10178+3062</f>
        <v>13240</v>
      </c>
      <c r="G408" s="19">
        <f t="shared" si="17"/>
        <v>13240</v>
      </c>
      <c r="H408" s="19"/>
    </row>
    <row r="409" spans="1:8" ht="24">
      <c r="A409" s="36" t="s">
        <v>1411</v>
      </c>
      <c r="B409" s="17" t="s">
        <v>1336</v>
      </c>
      <c r="C409" s="17" t="s">
        <v>1340</v>
      </c>
      <c r="D409" s="17" t="s">
        <v>159</v>
      </c>
      <c r="E409" s="17" t="s">
        <v>1204</v>
      </c>
      <c r="F409" s="19">
        <f>F410</f>
        <v>15017.5</v>
      </c>
      <c r="G409" s="19">
        <f t="shared" si="17"/>
        <v>15017.5</v>
      </c>
      <c r="H409" s="19"/>
    </row>
    <row r="410" spans="1:8" ht="36">
      <c r="A410" s="36" t="s">
        <v>459</v>
      </c>
      <c r="B410" s="17" t="s">
        <v>1336</v>
      </c>
      <c r="C410" s="17" t="s">
        <v>1340</v>
      </c>
      <c r="D410" s="17" t="s">
        <v>159</v>
      </c>
      <c r="E410" s="17" t="s">
        <v>641</v>
      </c>
      <c r="F410" s="19">
        <f>F411</f>
        <v>15017.5</v>
      </c>
      <c r="G410" s="19">
        <f t="shared" si="17"/>
        <v>15017.5</v>
      </c>
      <c r="H410" s="19"/>
    </row>
    <row r="411" spans="1:8" ht="24">
      <c r="A411" s="18" t="s">
        <v>390</v>
      </c>
      <c r="B411" s="17" t="s">
        <v>1336</v>
      </c>
      <c r="C411" s="17" t="s">
        <v>1340</v>
      </c>
      <c r="D411" s="17" t="s">
        <v>159</v>
      </c>
      <c r="E411" s="17" t="s">
        <v>419</v>
      </c>
      <c r="F411" s="20">
        <f>15000+F412</f>
        <v>15017.5</v>
      </c>
      <c r="G411" s="19">
        <f t="shared" si="17"/>
        <v>15017.5</v>
      </c>
      <c r="H411" s="19"/>
    </row>
    <row r="412" spans="1:8" ht="240">
      <c r="A412" s="18" t="s">
        <v>663</v>
      </c>
      <c r="B412" s="17" t="s">
        <v>1336</v>
      </c>
      <c r="C412" s="17" t="s">
        <v>1340</v>
      </c>
      <c r="D412" s="17" t="s">
        <v>159</v>
      </c>
      <c r="E412" s="17" t="s">
        <v>419</v>
      </c>
      <c r="F412" s="20">
        <v>17.5</v>
      </c>
      <c r="G412" s="19">
        <f t="shared" si="17"/>
        <v>17.5</v>
      </c>
      <c r="H412" s="19"/>
    </row>
    <row r="413" spans="1:8" ht="24">
      <c r="A413" s="18" t="s">
        <v>160</v>
      </c>
      <c r="B413" s="17" t="s">
        <v>1336</v>
      </c>
      <c r="C413" s="17" t="s">
        <v>1340</v>
      </c>
      <c r="D413" s="17" t="s">
        <v>161</v>
      </c>
      <c r="E413" s="17" t="s">
        <v>1204</v>
      </c>
      <c r="F413" s="19">
        <f>F416+F414</f>
        <v>71634.6</v>
      </c>
      <c r="G413" s="19">
        <f t="shared" si="17"/>
        <v>71634.6</v>
      </c>
      <c r="H413" s="19"/>
    </row>
    <row r="414" spans="1:8" ht="24">
      <c r="A414" s="158" t="s">
        <v>486</v>
      </c>
      <c r="B414" s="17" t="s">
        <v>1336</v>
      </c>
      <c r="C414" s="17" t="s">
        <v>1340</v>
      </c>
      <c r="D414" s="17" t="s">
        <v>161</v>
      </c>
      <c r="E414" s="17" t="s">
        <v>402</v>
      </c>
      <c r="F414" s="19">
        <f>F415</f>
        <v>19826.3</v>
      </c>
      <c r="G414" s="19">
        <f t="shared" si="17"/>
        <v>19826.3</v>
      </c>
      <c r="H414" s="19"/>
    </row>
    <row r="415" spans="1:8" ht="24">
      <c r="A415" s="158" t="s">
        <v>471</v>
      </c>
      <c r="B415" s="17" t="s">
        <v>1336</v>
      </c>
      <c r="C415" s="17" t="s">
        <v>1340</v>
      </c>
      <c r="D415" s="17" t="s">
        <v>161</v>
      </c>
      <c r="E415" s="17" t="s">
        <v>1333</v>
      </c>
      <c r="F415" s="20">
        <f>19029.6-6084.5+4106.4+300+300+1942.3+232.5</f>
        <v>19826.3</v>
      </c>
      <c r="G415" s="19">
        <f t="shared" si="17"/>
        <v>19826.3</v>
      </c>
      <c r="H415" s="19"/>
    </row>
    <row r="416" spans="1:8" ht="36">
      <c r="A416" s="36" t="s">
        <v>459</v>
      </c>
      <c r="B416" s="17" t="s">
        <v>1336</v>
      </c>
      <c r="C416" s="17" t="s">
        <v>1340</v>
      </c>
      <c r="D416" s="17" t="s">
        <v>161</v>
      </c>
      <c r="E416" s="17" t="s">
        <v>641</v>
      </c>
      <c r="F416" s="19">
        <f>F417</f>
        <v>51808.30000000001</v>
      </c>
      <c r="G416" s="19">
        <f t="shared" si="17"/>
        <v>51808.30000000001</v>
      </c>
      <c r="H416" s="19"/>
    </row>
    <row r="417" spans="1:8" ht="24">
      <c r="A417" s="18" t="s">
        <v>460</v>
      </c>
      <c r="B417" s="17" t="s">
        <v>1336</v>
      </c>
      <c r="C417" s="17" t="s">
        <v>1340</v>
      </c>
      <c r="D417" s="17" t="s">
        <v>161</v>
      </c>
      <c r="E417" s="17" t="s">
        <v>419</v>
      </c>
      <c r="F417" s="20">
        <f>31580+1500+97.6+542.5+80+55+456+474.5+365.8+567.8+4335+160+71+214.8+251-365.8-567.8+6708.8+47-0.1+35+290.8+290+1287+1400+1000+27.5+161+90.2+332.3+321.4</f>
        <v>51808.30000000001</v>
      </c>
      <c r="G417" s="19">
        <f t="shared" si="17"/>
        <v>51808.30000000001</v>
      </c>
      <c r="H417" s="19"/>
    </row>
    <row r="418" spans="1:8" ht="48">
      <c r="A418" s="18" t="s">
        <v>1372</v>
      </c>
      <c r="B418" s="17" t="s">
        <v>1336</v>
      </c>
      <c r="C418" s="17" t="s">
        <v>1340</v>
      </c>
      <c r="D418" s="17" t="s">
        <v>161</v>
      </c>
      <c r="E418" s="17" t="s">
        <v>419</v>
      </c>
      <c r="F418" s="80">
        <v>97.6</v>
      </c>
      <c r="G418" s="19">
        <f aca="true" t="shared" si="18" ref="G418:G431">F418-H418</f>
        <v>97.6</v>
      </c>
      <c r="H418" s="19"/>
    </row>
    <row r="419" spans="1:8" ht="36">
      <c r="A419" s="18" t="s">
        <v>1214</v>
      </c>
      <c r="B419" s="17" t="s">
        <v>1336</v>
      </c>
      <c r="C419" s="17" t="s">
        <v>1340</v>
      </c>
      <c r="D419" s="17" t="s">
        <v>161</v>
      </c>
      <c r="E419" s="17" t="s">
        <v>419</v>
      </c>
      <c r="F419" s="80">
        <f>542.5+47+290</f>
        <v>879.5</v>
      </c>
      <c r="G419" s="19">
        <f t="shared" si="18"/>
        <v>879.5</v>
      </c>
      <c r="H419" s="19"/>
    </row>
    <row r="420" spans="1:8" ht="36" hidden="1">
      <c r="A420" s="18" t="s">
        <v>383</v>
      </c>
      <c r="B420" s="17" t="s">
        <v>1336</v>
      </c>
      <c r="C420" s="17" t="s">
        <v>1340</v>
      </c>
      <c r="D420" s="17" t="s">
        <v>161</v>
      </c>
      <c r="E420" s="17" t="s">
        <v>419</v>
      </c>
      <c r="F420" s="80">
        <v>1287</v>
      </c>
      <c r="G420" s="19">
        <f t="shared" si="18"/>
        <v>1287</v>
      </c>
      <c r="H420" s="19"/>
    </row>
    <row r="421" spans="1:8" ht="48">
      <c r="A421" s="18" t="s">
        <v>1187</v>
      </c>
      <c r="B421" s="17" t="s">
        <v>1336</v>
      </c>
      <c r="C421" s="17" t="s">
        <v>1340</v>
      </c>
      <c r="D421" s="17" t="s">
        <v>161</v>
      </c>
      <c r="E421" s="17" t="s">
        <v>419</v>
      </c>
      <c r="F421" s="80">
        <v>80</v>
      </c>
      <c r="G421" s="19">
        <f t="shared" si="18"/>
        <v>80</v>
      </c>
      <c r="H421" s="19"/>
    </row>
    <row r="422" spans="1:8" ht="48">
      <c r="A422" s="18" t="s">
        <v>773</v>
      </c>
      <c r="B422" s="17" t="s">
        <v>1336</v>
      </c>
      <c r="C422" s="17" t="s">
        <v>1340</v>
      </c>
      <c r="D422" s="17" t="s">
        <v>161</v>
      </c>
      <c r="E422" s="17" t="s">
        <v>419</v>
      </c>
      <c r="F422" s="80">
        <v>4335</v>
      </c>
      <c r="G422" s="19">
        <f t="shared" si="18"/>
        <v>4335</v>
      </c>
      <c r="H422" s="19"/>
    </row>
    <row r="423" spans="1:8" ht="36">
      <c r="A423" s="18" t="s">
        <v>1234</v>
      </c>
      <c r="B423" s="17" t="s">
        <v>1336</v>
      </c>
      <c r="C423" s="17" t="s">
        <v>1340</v>
      </c>
      <c r="D423" s="17" t="s">
        <v>161</v>
      </c>
      <c r="E423" s="17" t="s">
        <v>419</v>
      </c>
      <c r="F423" s="80">
        <v>160</v>
      </c>
      <c r="G423" s="19">
        <f t="shared" si="18"/>
        <v>160</v>
      </c>
      <c r="H423" s="19"/>
    </row>
    <row r="424" spans="1:8" ht="59.25" customHeight="1">
      <c r="A424" s="18" t="s">
        <v>722</v>
      </c>
      <c r="B424" s="17" t="s">
        <v>1336</v>
      </c>
      <c r="C424" s="17" t="s">
        <v>1340</v>
      </c>
      <c r="D424" s="17" t="s">
        <v>161</v>
      </c>
      <c r="E424" s="17" t="s">
        <v>419</v>
      </c>
      <c r="F424" s="80">
        <v>6708.8</v>
      </c>
      <c r="G424" s="19">
        <f t="shared" si="18"/>
        <v>6708.8</v>
      </c>
      <c r="H424" s="19"/>
    </row>
    <row r="425" spans="1:8" ht="81" customHeight="1">
      <c r="A425" s="18" t="s">
        <v>113</v>
      </c>
      <c r="B425" s="17" t="s">
        <v>1336</v>
      </c>
      <c r="C425" s="17" t="s">
        <v>1340</v>
      </c>
      <c r="D425" s="17" t="s">
        <v>161</v>
      </c>
      <c r="E425" s="17" t="s">
        <v>419</v>
      </c>
      <c r="F425" s="80">
        <v>35</v>
      </c>
      <c r="G425" s="19">
        <f t="shared" si="18"/>
        <v>35</v>
      </c>
      <c r="H425" s="19"/>
    </row>
    <row r="426" spans="1:8" ht="30.75" customHeight="1">
      <c r="A426" s="18" t="s">
        <v>1052</v>
      </c>
      <c r="B426" s="17" t="s">
        <v>1336</v>
      </c>
      <c r="C426" s="17" t="s">
        <v>1340</v>
      </c>
      <c r="D426" s="17" t="s">
        <v>161</v>
      </c>
      <c r="E426" s="17" t="s">
        <v>419</v>
      </c>
      <c r="F426" s="80">
        <v>290.8</v>
      </c>
      <c r="G426" s="19">
        <f t="shared" si="18"/>
        <v>290.8</v>
      </c>
      <c r="H426" s="19"/>
    </row>
    <row r="427" spans="1:8" ht="44.25" customHeight="1">
      <c r="A427" s="18" t="s">
        <v>67</v>
      </c>
      <c r="B427" s="17" t="s">
        <v>1336</v>
      </c>
      <c r="C427" s="17" t="s">
        <v>1340</v>
      </c>
      <c r="D427" s="17" t="s">
        <v>161</v>
      </c>
      <c r="E427" s="17" t="s">
        <v>419</v>
      </c>
      <c r="F427" s="80">
        <v>27.5</v>
      </c>
      <c r="G427" s="19">
        <f t="shared" si="18"/>
        <v>27.5</v>
      </c>
      <c r="H427" s="19"/>
    </row>
    <row r="428" spans="1:8" ht="44.25" customHeight="1">
      <c r="A428" s="18" t="s">
        <v>68</v>
      </c>
      <c r="B428" s="17" t="s">
        <v>1336</v>
      </c>
      <c r="C428" s="17" t="s">
        <v>1340</v>
      </c>
      <c r="D428" s="17" t="s">
        <v>161</v>
      </c>
      <c r="E428" s="17" t="s">
        <v>419</v>
      </c>
      <c r="F428" s="80">
        <v>161</v>
      </c>
      <c r="G428" s="19">
        <f t="shared" si="18"/>
        <v>161</v>
      </c>
      <c r="H428" s="19"/>
    </row>
    <row r="429" spans="1:8" ht="44.25" customHeight="1">
      <c r="A429" s="18" t="s">
        <v>69</v>
      </c>
      <c r="B429" s="17" t="s">
        <v>1336</v>
      </c>
      <c r="C429" s="17" t="s">
        <v>1340</v>
      </c>
      <c r="D429" s="17" t="s">
        <v>161</v>
      </c>
      <c r="E429" s="17" t="s">
        <v>419</v>
      </c>
      <c r="F429" s="80">
        <v>90.2</v>
      </c>
      <c r="G429" s="19">
        <f t="shared" si="18"/>
        <v>90.2</v>
      </c>
      <c r="H429" s="19"/>
    </row>
    <row r="430" spans="1:8" ht="63.75" customHeight="1">
      <c r="A430" s="18" t="s">
        <v>609</v>
      </c>
      <c r="B430" s="17" t="s">
        <v>1336</v>
      </c>
      <c r="C430" s="17" t="s">
        <v>1340</v>
      </c>
      <c r="D430" s="17" t="s">
        <v>1227</v>
      </c>
      <c r="E430" s="17" t="s">
        <v>1204</v>
      </c>
      <c r="F430" s="19">
        <f>F431</f>
        <v>3550</v>
      </c>
      <c r="G430" s="19">
        <f t="shared" si="18"/>
        <v>3550</v>
      </c>
      <c r="H430" s="19"/>
    </row>
    <row r="431" spans="1:8" ht="24">
      <c r="A431" s="158" t="s">
        <v>471</v>
      </c>
      <c r="B431" s="17" t="s">
        <v>1336</v>
      </c>
      <c r="C431" s="17" t="s">
        <v>1340</v>
      </c>
      <c r="D431" s="17" t="s">
        <v>1227</v>
      </c>
      <c r="E431" s="17" t="s">
        <v>1333</v>
      </c>
      <c r="F431" s="80">
        <v>3550</v>
      </c>
      <c r="G431" s="19">
        <f t="shared" si="18"/>
        <v>3550</v>
      </c>
      <c r="H431" s="19"/>
    </row>
    <row r="432" spans="1:8" ht="15.75" customHeight="1">
      <c r="A432" s="24" t="s">
        <v>80</v>
      </c>
      <c r="B432" s="23" t="s">
        <v>1335</v>
      </c>
      <c r="C432" s="27"/>
      <c r="D432" s="27"/>
      <c r="E432" s="27"/>
      <c r="F432" s="2">
        <f>F433+F446</f>
        <v>700</v>
      </c>
      <c r="G432" s="19">
        <f t="shared" si="17"/>
        <v>700</v>
      </c>
      <c r="H432" s="2">
        <f>H433+H446</f>
        <v>0</v>
      </c>
    </row>
    <row r="433" spans="1:8" ht="24">
      <c r="A433" s="31" t="s">
        <v>1184</v>
      </c>
      <c r="B433" s="17" t="s">
        <v>1335</v>
      </c>
      <c r="C433" s="17" t="s">
        <v>1340</v>
      </c>
      <c r="D433" s="27"/>
      <c r="E433" s="27"/>
      <c r="F433" s="19">
        <f>F434</f>
        <v>700</v>
      </c>
      <c r="G433" s="19">
        <f t="shared" si="17"/>
        <v>700</v>
      </c>
      <c r="H433" s="19">
        <f>H434</f>
        <v>0</v>
      </c>
    </row>
    <row r="434" spans="1:8" ht="36">
      <c r="A434" s="32" t="s">
        <v>3</v>
      </c>
      <c r="B434" s="17" t="s">
        <v>1335</v>
      </c>
      <c r="C434" s="17" t="s">
        <v>1340</v>
      </c>
      <c r="D434" s="17" t="s">
        <v>507</v>
      </c>
      <c r="E434" s="27"/>
      <c r="F434" s="19">
        <f>F435+F439</f>
        <v>700</v>
      </c>
      <c r="G434" s="19">
        <f t="shared" si="17"/>
        <v>700</v>
      </c>
      <c r="H434" s="19">
        <f>H440</f>
        <v>0</v>
      </c>
    </row>
    <row r="435" spans="1:8" ht="36">
      <c r="A435" s="36" t="s">
        <v>958</v>
      </c>
      <c r="B435" s="17" t="s">
        <v>1335</v>
      </c>
      <c r="C435" s="17" t="s">
        <v>1340</v>
      </c>
      <c r="D435" s="17" t="s">
        <v>309</v>
      </c>
      <c r="E435" s="27"/>
      <c r="F435" s="19">
        <f>F436</f>
        <v>500</v>
      </c>
      <c r="G435" s="19">
        <f t="shared" si="17"/>
        <v>500</v>
      </c>
      <c r="H435" s="19"/>
    </row>
    <row r="436" spans="1:8" ht="24">
      <c r="A436" s="18" t="s">
        <v>1203</v>
      </c>
      <c r="B436" s="17" t="s">
        <v>1335</v>
      </c>
      <c r="C436" s="17" t="s">
        <v>1340</v>
      </c>
      <c r="D436" s="17" t="s">
        <v>839</v>
      </c>
      <c r="E436" s="27" t="s">
        <v>1204</v>
      </c>
      <c r="F436" s="19">
        <f>F437</f>
        <v>500</v>
      </c>
      <c r="G436" s="19">
        <f t="shared" si="17"/>
        <v>500</v>
      </c>
      <c r="H436" s="19">
        <f>H437</f>
        <v>0</v>
      </c>
    </row>
    <row r="437" spans="1:8" ht="24">
      <c r="A437" s="158" t="s">
        <v>486</v>
      </c>
      <c r="B437" s="17" t="s">
        <v>1335</v>
      </c>
      <c r="C437" s="17" t="s">
        <v>1340</v>
      </c>
      <c r="D437" s="17" t="s">
        <v>839</v>
      </c>
      <c r="E437" s="17" t="s">
        <v>402</v>
      </c>
      <c r="F437" s="19">
        <f>F438</f>
        <v>500</v>
      </c>
      <c r="G437" s="19">
        <f t="shared" si="17"/>
        <v>500</v>
      </c>
      <c r="H437" s="19">
        <f>H438</f>
        <v>0</v>
      </c>
    </row>
    <row r="438" spans="1:8" ht="24">
      <c r="A438" s="158" t="s">
        <v>471</v>
      </c>
      <c r="B438" s="17" t="s">
        <v>1335</v>
      </c>
      <c r="C438" s="17" t="s">
        <v>1340</v>
      </c>
      <c r="D438" s="17" t="s">
        <v>839</v>
      </c>
      <c r="E438" s="17" t="s">
        <v>1333</v>
      </c>
      <c r="F438" s="20">
        <v>500</v>
      </c>
      <c r="G438" s="19">
        <f t="shared" si="17"/>
        <v>500</v>
      </c>
      <c r="H438" s="19"/>
    </row>
    <row r="439" spans="1:8" ht="36">
      <c r="A439" s="36" t="s">
        <v>505</v>
      </c>
      <c r="B439" s="17" t="s">
        <v>1335</v>
      </c>
      <c r="C439" s="17" t="s">
        <v>1340</v>
      </c>
      <c r="D439" s="17" t="s">
        <v>506</v>
      </c>
      <c r="E439" s="27"/>
      <c r="F439" s="19">
        <f>F440</f>
        <v>200</v>
      </c>
      <c r="G439" s="19">
        <f t="shared" si="17"/>
        <v>200</v>
      </c>
      <c r="H439" s="19"/>
    </row>
    <row r="440" spans="1:8" ht="24">
      <c r="A440" s="18" t="s">
        <v>308</v>
      </c>
      <c r="B440" s="27" t="s">
        <v>1335</v>
      </c>
      <c r="C440" s="27" t="s">
        <v>1340</v>
      </c>
      <c r="D440" s="17" t="s">
        <v>508</v>
      </c>
      <c r="E440" s="27" t="s">
        <v>1204</v>
      </c>
      <c r="F440" s="19">
        <f>F441+F444</f>
        <v>200</v>
      </c>
      <c r="G440" s="19">
        <f t="shared" si="17"/>
        <v>200</v>
      </c>
      <c r="H440" s="19">
        <f>H441+H444</f>
        <v>0</v>
      </c>
    </row>
    <row r="441" spans="1:8" ht="24" hidden="1">
      <c r="A441" s="158" t="s">
        <v>471</v>
      </c>
      <c r="B441" s="17" t="s">
        <v>1335</v>
      </c>
      <c r="C441" s="17" t="s">
        <v>1340</v>
      </c>
      <c r="D441" s="17" t="s">
        <v>508</v>
      </c>
      <c r="E441" s="17" t="s">
        <v>1333</v>
      </c>
      <c r="F441" s="20"/>
      <c r="G441" s="19">
        <f t="shared" si="17"/>
        <v>0</v>
      </c>
      <c r="H441" s="30"/>
    </row>
    <row r="442" spans="1:8" ht="36" hidden="1">
      <c r="A442" s="158" t="s">
        <v>52</v>
      </c>
      <c r="B442" s="17" t="s">
        <v>1335</v>
      </c>
      <c r="C442" s="17" t="s">
        <v>1340</v>
      </c>
      <c r="D442" s="17" t="s">
        <v>508</v>
      </c>
      <c r="E442" s="17" t="s">
        <v>465</v>
      </c>
      <c r="F442" s="20"/>
      <c r="G442" s="19">
        <f t="shared" si="17"/>
        <v>0</v>
      </c>
      <c r="H442" s="30"/>
    </row>
    <row r="443" spans="1:8" ht="24" hidden="1">
      <c r="A443" s="158" t="s">
        <v>233</v>
      </c>
      <c r="B443" s="17" t="s">
        <v>1335</v>
      </c>
      <c r="C443" s="17" t="s">
        <v>1340</v>
      </c>
      <c r="D443" s="17" t="s">
        <v>508</v>
      </c>
      <c r="E443" s="17" t="s">
        <v>234</v>
      </c>
      <c r="F443" s="20"/>
      <c r="G443" s="19">
        <f t="shared" si="17"/>
        <v>0</v>
      </c>
      <c r="H443" s="30"/>
    </row>
    <row r="444" spans="1:8" ht="24">
      <c r="A444" s="158" t="s">
        <v>1189</v>
      </c>
      <c r="B444" s="17" t="s">
        <v>1335</v>
      </c>
      <c r="C444" s="17" t="s">
        <v>1340</v>
      </c>
      <c r="D444" s="17" t="s">
        <v>508</v>
      </c>
      <c r="E444" s="17" t="s">
        <v>1190</v>
      </c>
      <c r="F444" s="19">
        <f>F445</f>
        <v>200</v>
      </c>
      <c r="G444" s="19">
        <f t="shared" si="17"/>
        <v>200</v>
      </c>
      <c r="H444" s="30">
        <f>H445</f>
        <v>0</v>
      </c>
    </row>
    <row r="445" spans="1:8" ht="24">
      <c r="A445" s="18" t="s">
        <v>1191</v>
      </c>
      <c r="B445" s="17" t="s">
        <v>1335</v>
      </c>
      <c r="C445" s="17" t="s">
        <v>1340</v>
      </c>
      <c r="D445" s="17" t="s">
        <v>508</v>
      </c>
      <c r="E445" s="17" t="s">
        <v>1192</v>
      </c>
      <c r="F445" s="20">
        <v>200</v>
      </c>
      <c r="G445" s="19">
        <f t="shared" si="17"/>
        <v>200</v>
      </c>
      <c r="H445" s="30"/>
    </row>
    <row r="446" spans="1:8" ht="22.5" hidden="1">
      <c r="A446" s="31" t="s">
        <v>1202</v>
      </c>
      <c r="B446" s="17" t="s">
        <v>1335</v>
      </c>
      <c r="C446" s="17" t="s">
        <v>1336</v>
      </c>
      <c r="D446" s="17"/>
      <c r="E446" s="17"/>
      <c r="F446" s="19">
        <f aca="true" t="shared" si="19" ref="F446:H447">F447</f>
        <v>0</v>
      </c>
      <c r="G446" s="19">
        <f t="shared" si="19"/>
        <v>0</v>
      </c>
      <c r="H446" s="19">
        <f t="shared" si="19"/>
        <v>0</v>
      </c>
    </row>
    <row r="447" spans="1:8" ht="24" hidden="1">
      <c r="A447" s="32" t="s">
        <v>393</v>
      </c>
      <c r="B447" s="17" t="s">
        <v>1335</v>
      </c>
      <c r="C447" s="17" t="s">
        <v>1336</v>
      </c>
      <c r="D447" s="17" t="s">
        <v>1344</v>
      </c>
      <c r="E447" s="17"/>
      <c r="F447" s="19">
        <f t="shared" si="19"/>
        <v>0</v>
      </c>
      <c r="G447" s="19">
        <f t="shared" si="19"/>
        <v>0</v>
      </c>
      <c r="H447" s="19">
        <f t="shared" si="19"/>
        <v>0</v>
      </c>
    </row>
    <row r="448" spans="1:8" ht="15" hidden="1">
      <c r="A448" s="18" t="s">
        <v>1203</v>
      </c>
      <c r="B448" s="17" t="s">
        <v>1335</v>
      </c>
      <c r="C448" s="17" t="s">
        <v>1336</v>
      </c>
      <c r="D448" s="17" t="s">
        <v>394</v>
      </c>
      <c r="E448" s="17" t="s">
        <v>1204</v>
      </c>
      <c r="F448" s="19">
        <f>F449</f>
        <v>0</v>
      </c>
      <c r="G448" s="19">
        <f>F448-H448</f>
        <v>0</v>
      </c>
      <c r="H448" s="19"/>
    </row>
    <row r="449" spans="1:8" ht="15" hidden="1">
      <c r="A449" s="18" t="s">
        <v>1191</v>
      </c>
      <c r="B449" s="17" t="s">
        <v>1335</v>
      </c>
      <c r="C449" s="17" t="s">
        <v>1336</v>
      </c>
      <c r="D449" s="17" t="s">
        <v>394</v>
      </c>
      <c r="E449" s="17" t="s">
        <v>1192</v>
      </c>
      <c r="F449" s="20"/>
      <c r="G449" s="19">
        <f>F449-H449</f>
        <v>0</v>
      </c>
      <c r="H449" s="19"/>
    </row>
    <row r="450" spans="1:8" ht="15" customHeight="1">
      <c r="A450" s="24" t="s">
        <v>119</v>
      </c>
      <c r="B450" s="23" t="s">
        <v>1338</v>
      </c>
      <c r="C450" s="28"/>
      <c r="D450" s="28"/>
      <c r="E450" s="28"/>
      <c r="F450" s="2">
        <f>F451+F490+F658+F666+F699</f>
        <v>2297647.8000000003</v>
      </c>
      <c r="G450" s="22">
        <f>F450-H450</f>
        <v>897786.8000000003</v>
      </c>
      <c r="H450" s="2">
        <f>H451+H490+H658+H666+H699</f>
        <v>1399861</v>
      </c>
    </row>
    <row r="451" spans="1:8" ht="15">
      <c r="A451" s="31" t="s">
        <v>114</v>
      </c>
      <c r="B451" s="17" t="s">
        <v>1338</v>
      </c>
      <c r="C451" s="17" t="s">
        <v>184</v>
      </c>
      <c r="D451" s="39"/>
      <c r="E451" s="39"/>
      <c r="F451" s="19">
        <f>F452</f>
        <v>731795.1000000001</v>
      </c>
      <c r="G451" s="19">
        <f>G452</f>
        <v>299151.4</v>
      </c>
      <c r="H451" s="19">
        <f>H452</f>
        <v>408585</v>
      </c>
    </row>
    <row r="452" spans="1:8" ht="36">
      <c r="A452" s="33" t="s">
        <v>798</v>
      </c>
      <c r="B452" s="17" t="s">
        <v>1338</v>
      </c>
      <c r="C452" s="17" t="s">
        <v>184</v>
      </c>
      <c r="D452" s="17" t="s">
        <v>1376</v>
      </c>
      <c r="E452" s="39"/>
      <c r="F452" s="19">
        <f>F453+F466+F472+F469</f>
        <v>731795.1000000001</v>
      </c>
      <c r="G452" s="19">
        <f>G453+G466+G473</f>
        <v>299151.4</v>
      </c>
      <c r="H452" s="19">
        <f>H453+H466+H472+H469</f>
        <v>408585</v>
      </c>
    </row>
    <row r="453" spans="1:8" ht="60">
      <c r="A453" s="18" t="s">
        <v>1377</v>
      </c>
      <c r="B453" s="17" t="s">
        <v>1338</v>
      </c>
      <c r="C453" s="17" t="s">
        <v>184</v>
      </c>
      <c r="D453" s="17" t="s">
        <v>1378</v>
      </c>
      <c r="E453" s="17"/>
      <c r="F453" s="19">
        <f>F454</f>
        <v>403940</v>
      </c>
      <c r="G453" s="19">
        <f aca="true" t="shared" si="20" ref="G453:G534">F453-H453</f>
        <v>0</v>
      </c>
      <c r="H453" s="19">
        <f>H454</f>
        <v>403940</v>
      </c>
    </row>
    <row r="454" spans="1:8" ht="128.25" customHeight="1">
      <c r="A454" s="169" t="s">
        <v>1417</v>
      </c>
      <c r="B454" s="17" t="s">
        <v>1338</v>
      </c>
      <c r="C454" s="17" t="s">
        <v>184</v>
      </c>
      <c r="D454" s="17" t="s">
        <v>1378</v>
      </c>
      <c r="E454" s="17" t="s">
        <v>1204</v>
      </c>
      <c r="F454" s="19">
        <f>F455</f>
        <v>403940</v>
      </c>
      <c r="G454" s="19">
        <f t="shared" si="20"/>
        <v>0</v>
      </c>
      <c r="H454" s="19">
        <f>H455</f>
        <v>403940</v>
      </c>
    </row>
    <row r="455" spans="1:8" ht="26.25" customHeight="1">
      <c r="A455" s="36" t="s">
        <v>459</v>
      </c>
      <c r="B455" s="17" t="s">
        <v>1338</v>
      </c>
      <c r="C455" s="17" t="s">
        <v>184</v>
      </c>
      <c r="D455" s="17" t="s">
        <v>1378</v>
      </c>
      <c r="E455" s="17" t="s">
        <v>641</v>
      </c>
      <c r="F455" s="19">
        <f>F456+F461</f>
        <v>403940</v>
      </c>
      <c r="G455" s="19"/>
      <c r="H455" s="19">
        <f>H456+H461</f>
        <v>403940</v>
      </c>
    </row>
    <row r="456" spans="1:8" ht="24">
      <c r="A456" s="18" t="s">
        <v>418</v>
      </c>
      <c r="B456" s="17" t="s">
        <v>1338</v>
      </c>
      <c r="C456" s="17" t="s">
        <v>184</v>
      </c>
      <c r="D456" s="17" t="s">
        <v>1378</v>
      </c>
      <c r="E456" s="17" t="s">
        <v>419</v>
      </c>
      <c r="F456" s="20">
        <v>23482</v>
      </c>
      <c r="G456" s="19">
        <f t="shared" si="20"/>
        <v>0</v>
      </c>
      <c r="H456" s="19">
        <f>H457</f>
        <v>23482</v>
      </c>
    </row>
    <row r="457" spans="1:8" ht="24" hidden="1">
      <c r="A457" s="18" t="s">
        <v>417</v>
      </c>
      <c r="B457" s="17" t="s">
        <v>1338</v>
      </c>
      <c r="C457" s="17" t="s">
        <v>184</v>
      </c>
      <c r="D457" s="17" t="s">
        <v>1378</v>
      </c>
      <c r="E457" s="17" t="s">
        <v>420</v>
      </c>
      <c r="F457" s="20">
        <v>23482</v>
      </c>
      <c r="G457" s="19">
        <f t="shared" si="20"/>
        <v>0</v>
      </c>
      <c r="H457" s="19">
        <v>23482</v>
      </c>
    </row>
    <row r="458" spans="1:8" ht="24" hidden="1">
      <c r="A458" s="18" t="s">
        <v>221</v>
      </c>
      <c r="B458" s="17" t="s">
        <v>1338</v>
      </c>
      <c r="C458" s="17" t="s">
        <v>184</v>
      </c>
      <c r="D458" s="17" t="s">
        <v>1378</v>
      </c>
      <c r="E458" s="17" t="s">
        <v>88</v>
      </c>
      <c r="F458" s="19">
        <f>F459+F460</f>
        <v>0</v>
      </c>
      <c r="G458" s="19">
        <f t="shared" si="20"/>
        <v>0</v>
      </c>
      <c r="H458" s="19"/>
    </row>
    <row r="459" spans="1:8" ht="48" hidden="1">
      <c r="A459" s="18" t="s">
        <v>1419</v>
      </c>
      <c r="B459" s="17" t="s">
        <v>1338</v>
      </c>
      <c r="C459" s="17" t="s">
        <v>184</v>
      </c>
      <c r="D459" s="17" t="s">
        <v>1378</v>
      </c>
      <c r="E459" s="17" t="s">
        <v>88</v>
      </c>
      <c r="F459" s="20"/>
      <c r="G459" s="19">
        <f t="shared" si="20"/>
        <v>0</v>
      </c>
      <c r="H459" s="19"/>
    </row>
    <row r="460" spans="1:8" ht="48" hidden="1">
      <c r="A460" s="18" t="s">
        <v>1420</v>
      </c>
      <c r="B460" s="17" t="s">
        <v>1338</v>
      </c>
      <c r="C460" s="17" t="s">
        <v>184</v>
      </c>
      <c r="D460" s="17" t="s">
        <v>1378</v>
      </c>
      <c r="E460" s="17" t="s">
        <v>88</v>
      </c>
      <c r="F460" s="20"/>
      <c r="G460" s="19">
        <f t="shared" si="20"/>
        <v>0</v>
      </c>
      <c r="H460" s="19"/>
    </row>
    <row r="461" spans="1:8" ht="24">
      <c r="A461" s="18" t="s">
        <v>243</v>
      </c>
      <c r="B461" s="17" t="s">
        <v>1338</v>
      </c>
      <c r="C461" s="17" t="s">
        <v>184</v>
      </c>
      <c r="D461" s="17" t="s">
        <v>1378</v>
      </c>
      <c r="E461" s="17" t="s">
        <v>244</v>
      </c>
      <c r="F461" s="20">
        <f>369507+10240+541-194+364</f>
        <v>380458</v>
      </c>
      <c r="G461" s="19">
        <f t="shared" si="20"/>
        <v>0</v>
      </c>
      <c r="H461" s="20">
        <f>369507+10240+541-194+364</f>
        <v>380458</v>
      </c>
    </row>
    <row r="462" spans="1:8" ht="24" hidden="1">
      <c r="A462" s="18" t="s">
        <v>1457</v>
      </c>
      <c r="B462" s="17" t="s">
        <v>1338</v>
      </c>
      <c r="C462" s="17" t="s">
        <v>184</v>
      </c>
      <c r="D462" s="17" t="s">
        <v>1378</v>
      </c>
      <c r="E462" s="17" t="s">
        <v>245</v>
      </c>
      <c r="F462" s="20">
        <v>379747</v>
      </c>
      <c r="G462" s="19">
        <f t="shared" si="20"/>
        <v>0</v>
      </c>
      <c r="H462" s="19">
        <v>379747</v>
      </c>
    </row>
    <row r="463" spans="1:8" ht="24" hidden="1">
      <c r="A463" s="18" t="s">
        <v>1054</v>
      </c>
      <c r="B463" s="17" t="s">
        <v>1338</v>
      </c>
      <c r="C463" s="17" t="s">
        <v>184</v>
      </c>
      <c r="D463" s="17" t="s">
        <v>1378</v>
      </c>
      <c r="E463" s="17" t="s">
        <v>1104</v>
      </c>
      <c r="F463" s="19"/>
      <c r="G463" s="19">
        <f t="shared" si="20"/>
        <v>0</v>
      </c>
      <c r="H463" s="19"/>
    </row>
    <row r="464" spans="1:8" ht="36" hidden="1">
      <c r="A464" s="36" t="s">
        <v>1456</v>
      </c>
      <c r="B464" s="17" t="s">
        <v>1338</v>
      </c>
      <c r="C464" s="17" t="s">
        <v>184</v>
      </c>
      <c r="D464" s="17" t="s">
        <v>1378</v>
      </c>
      <c r="E464" s="17" t="s">
        <v>1104</v>
      </c>
      <c r="F464" s="20"/>
      <c r="G464" s="19">
        <f t="shared" si="20"/>
        <v>0</v>
      </c>
      <c r="H464" s="19"/>
    </row>
    <row r="465" spans="1:8" ht="36" hidden="1">
      <c r="A465" s="36" t="s">
        <v>971</v>
      </c>
      <c r="B465" s="17" t="s">
        <v>1338</v>
      </c>
      <c r="C465" s="17" t="s">
        <v>184</v>
      </c>
      <c r="D465" s="17" t="s">
        <v>1378</v>
      </c>
      <c r="E465" s="17" t="s">
        <v>1104</v>
      </c>
      <c r="F465" s="20"/>
      <c r="G465" s="19">
        <f t="shared" si="20"/>
        <v>0</v>
      </c>
      <c r="H465" s="19"/>
    </row>
    <row r="466" spans="1:8" ht="108">
      <c r="A466" s="170" t="s">
        <v>1381</v>
      </c>
      <c r="B466" s="17" t="s">
        <v>1338</v>
      </c>
      <c r="C466" s="17" t="s">
        <v>184</v>
      </c>
      <c r="D466" s="17" t="s">
        <v>1379</v>
      </c>
      <c r="E466" s="17" t="s">
        <v>1204</v>
      </c>
      <c r="F466" s="19">
        <f>F468</f>
        <v>4645</v>
      </c>
      <c r="G466" s="19">
        <f t="shared" si="20"/>
        <v>0</v>
      </c>
      <c r="H466" s="19">
        <f>H468</f>
        <v>4645</v>
      </c>
    </row>
    <row r="467" spans="1:8" ht="36">
      <c r="A467" s="36" t="s">
        <v>459</v>
      </c>
      <c r="B467" s="17" t="s">
        <v>1338</v>
      </c>
      <c r="C467" s="17" t="s">
        <v>184</v>
      </c>
      <c r="D467" s="17" t="s">
        <v>1379</v>
      </c>
      <c r="E467" s="17" t="s">
        <v>641</v>
      </c>
      <c r="F467" s="19">
        <f>F468</f>
        <v>4645</v>
      </c>
      <c r="G467" s="19"/>
      <c r="H467" s="19">
        <f>F467</f>
        <v>4645</v>
      </c>
    </row>
    <row r="468" spans="1:8" ht="45" customHeight="1">
      <c r="A468" s="198" t="s">
        <v>562</v>
      </c>
      <c r="B468" s="17" t="s">
        <v>1338</v>
      </c>
      <c r="C468" s="17" t="s">
        <v>184</v>
      </c>
      <c r="D468" s="17" t="s">
        <v>1379</v>
      </c>
      <c r="E468" s="17" t="s">
        <v>1078</v>
      </c>
      <c r="F468" s="20">
        <f>4089+108-1656-411+2515</f>
        <v>4645</v>
      </c>
      <c r="G468" s="19">
        <f t="shared" si="20"/>
        <v>0</v>
      </c>
      <c r="H468" s="20">
        <f>F468</f>
        <v>4645</v>
      </c>
    </row>
    <row r="469" spans="1:8" ht="105.75" customHeight="1">
      <c r="A469" s="198" t="s">
        <v>794</v>
      </c>
      <c r="B469" s="17" t="s">
        <v>1338</v>
      </c>
      <c r="C469" s="17" t="s">
        <v>184</v>
      </c>
      <c r="D469" s="17" t="s">
        <v>795</v>
      </c>
      <c r="E469" s="17" t="s">
        <v>1204</v>
      </c>
      <c r="F469" s="19">
        <f>F470</f>
        <v>500</v>
      </c>
      <c r="G469" s="19">
        <f t="shared" si="20"/>
        <v>500</v>
      </c>
      <c r="H469" s="19">
        <f>H470</f>
        <v>0</v>
      </c>
    </row>
    <row r="470" spans="1:8" ht="36">
      <c r="A470" s="36" t="s">
        <v>459</v>
      </c>
      <c r="B470" s="17" t="s">
        <v>1338</v>
      </c>
      <c r="C470" s="17" t="s">
        <v>184</v>
      </c>
      <c r="D470" s="17" t="s">
        <v>795</v>
      </c>
      <c r="E470" s="17" t="s">
        <v>641</v>
      </c>
      <c r="F470" s="19">
        <f>F471</f>
        <v>500</v>
      </c>
      <c r="G470" s="19">
        <f t="shared" si="20"/>
        <v>500</v>
      </c>
      <c r="H470" s="19">
        <f>H471</f>
        <v>0</v>
      </c>
    </row>
    <row r="471" spans="1:8" ht="24">
      <c r="A471" s="18" t="s">
        <v>1386</v>
      </c>
      <c r="B471" s="17" t="s">
        <v>1338</v>
      </c>
      <c r="C471" s="17" t="s">
        <v>184</v>
      </c>
      <c r="D471" s="17" t="s">
        <v>795</v>
      </c>
      <c r="E471" s="17" t="s">
        <v>244</v>
      </c>
      <c r="F471" s="20">
        <v>500</v>
      </c>
      <c r="G471" s="19">
        <v>500</v>
      </c>
      <c r="H471" s="20">
        <v>0</v>
      </c>
    </row>
    <row r="472" spans="1:8" ht="36">
      <c r="A472" s="33" t="s">
        <v>798</v>
      </c>
      <c r="B472" s="17" t="s">
        <v>1338</v>
      </c>
      <c r="C472" s="17" t="s">
        <v>184</v>
      </c>
      <c r="D472" s="17" t="s">
        <v>1376</v>
      </c>
      <c r="E472" s="39"/>
      <c r="F472" s="19">
        <f>F473+F481</f>
        <v>322710.10000000003</v>
      </c>
      <c r="G472" s="19">
        <f t="shared" si="20"/>
        <v>322710.10000000003</v>
      </c>
      <c r="H472" s="20"/>
    </row>
    <row r="473" spans="1:8" ht="60">
      <c r="A473" s="18" t="s">
        <v>1377</v>
      </c>
      <c r="B473" s="17" t="s">
        <v>1338</v>
      </c>
      <c r="C473" s="17" t="s">
        <v>184</v>
      </c>
      <c r="D473" s="17" t="s">
        <v>799</v>
      </c>
      <c r="E473" s="17" t="s">
        <v>1204</v>
      </c>
      <c r="F473" s="19">
        <f>F474</f>
        <v>299151.4</v>
      </c>
      <c r="G473" s="19">
        <f t="shared" si="20"/>
        <v>299151.4</v>
      </c>
      <c r="H473" s="20"/>
    </row>
    <row r="474" spans="1:8" ht="36">
      <c r="A474" s="36" t="s">
        <v>459</v>
      </c>
      <c r="B474" s="17" t="s">
        <v>1338</v>
      </c>
      <c r="C474" s="17" t="s">
        <v>184</v>
      </c>
      <c r="D474" s="17" t="s">
        <v>1382</v>
      </c>
      <c r="E474" s="17" t="s">
        <v>641</v>
      </c>
      <c r="F474" s="19">
        <f>F475+F477</f>
        <v>299151.4</v>
      </c>
      <c r="G474" s="19">
        <f t="shared" si="20"/>
        <v>299151.4</v>
      </c>
      <c r="H474" s="20">
        <f>H475+H477</f>
        <v>0</v>
      </c>
    </row>
    <row r="475" spans="1:8" ht="24">
      <c r="A475" s="18" t="s">
        <v>418</v>
      </c>
      <c r="B475" s="17" t="s">
        <v>1338</v>
      </c>
      <c r="C475" s="17" t="s">
        <v>184</v>
      </c>
      <c r="D475" s="17" t="s">
        <v>1382</v>
      </c>
      <c r="E475" s="17" t="s">
        <v>419</v>
      </c>
      <c r="F475" s="20">
        <f>25352+750-2404</f>
        <v>23698</v>
      </c>
      <c r="G475" s="19">
        <f t="shared" si="20"/>
        <v>23698</v>
      </c>
      <c r="H475" s="20"/>
    </row>
    <row r="476" spans="1:8" ht="15" hidden="1">
      <c r="A476" s="18"/>
      <c r="B476" s="54" t="s">
        <v>1338</v>
      </c>
      <c r="C476" s="54" t="s">
        <v>184</v>
      </c>
      <c r="D476" s="17" t="s">
        <v>1382</v>
      </c>
      <c r="E476" s="54" t="s">
        <v>419</v>
      </c>
      <c r="F476" s="20"/>
      <c r="G476" s="19">
        <f t="shared" si="20"/>
        <v>0</v>
      </c>
      <c r="H476" s="20"/>
    </row>
    <row r="477" spans="1:8" ht="24">
      <c r="A477" s="18" t="s">
        <v>746</v>
      </c>
      <c r="B477" s="54" t="s">
        <v>1338</v>
      </c>
      <c r="C477" s="54" t="s">
        <v>184</v>
      </c>
      <c r="D477" s="17" t="s">
        <v>1382</v>
      </c>
      <c r="E477" s="54" t="s">
        <v>244</v>
      </c>
      <c r="F477" s="20">
        <f>275814-250+10000-10000-110.6</f>
        <v>275453.4</v>
      </c>
      <c r="G477" s="19">
        <f t="shared" si="20"/>
        <v>275453.4</v>
      </c>
      <c r="H477" s="20"/>
    </row>
    <row r="478" spans="1:8" ht="108">
      <c r="A478" s="36" t="s">
        <v>915</v>
      </c>
      <c r="B478" s="54" t="s">
        <v>1338</v>
      </c>
      <c r="C478" s="54" t="s">
        <v>184</v>
      </c>
      <c r="D478" s="17" t="s">
        <v>1382</v>
      </c>
      <c r="E478" s="54" t="s">
        <v>244</v>
      </c>
      <c r="F478" s="20">
        <v>55.6</v>
      </c>
      <c r="G478" s="19">
        <f t="shared" si="20"/>
        <v>55.6</v>
      </c>
      <c r="H478" s="20"/>
    </row>
    <row r="479" spans="1:8" ht="24" hidden="1">
      <c r="A479" s="36" t="s">
        <v>518</v>
      </c>
      <c r="B479" s="54" t="s">
        <v>1338</v>
      </c>
      <c r="C479" s="54" t="s">
        <v>184</v>
      </c>
      <c r="D479" s="17" t="s">
        <v>1382</v>
      </c>
      <c r="E479" s="54" t="s">
        <v>244</v>
      </c>
      <c r="F479" s="20">
        <f>10000-10000</f>
        <v>0</v>
      </c>
      <c r="G479" s="19">
        <f t="shared" si="20"/>
        <v>0</v>
      </c>
      <c r="H479" s="20"/>
    </row>
    <row r="480" spans="1:8" ht="48">
      <c r="A480" s="36" t="s">
        <v>933</v>
      </c>
      <c r="B480" s="54" t="s">
        <v>1338</v>
      </c>
      <c r="C480" s="54" t="s">
        <v>184</v>
      </c>
      <c r="D480" s="17" t="s">
        <v>1382</v>
      </c>
      <c r="E480" s="54" t="s">
        <v>244</v>
      </c>
      <c r="F480" s="20">
        <v>2561.6</v>
      </c>
      <c r="G480" s="19">
        <f>F480</f>
        <v>2561.6</v>
      </c>
      <c r="H480" s="20"/>
    </row>
    <row r="481" spans="1:8" ht="48">
      <c r="A481" s="18" t="s">
        <v>822</v>
      </c>
      <c r="B481" s="54" t="s">
        <v>1338</v>
      </c>
      <c r="C481" s="54" t="s">
        <v>184</v>
      </c>
      <c r="D481" s="54" t="s">
        <v>606</v>
      </c>
      <c r="E481" s="54"/>
      <c r="F481" s="19">
        <f>F482+F485</f>
        <v>23558.7</v>
      </c>
      <c r="G481" s="19">
        <f t="shared" si="20"/>
        <v>23558.7</v>
      </c>
      <c r="H481" s="20"/>
    </row>
    <row r="482" spans="1:8" ht="36">
      <c r="A482" s="36" t="s">
        <v>270</v>
      </c>
      <c r="B482" s="54" t="s">
        <v>1338</v>
      </c>
      <c r="C482" s="54" t="s">
        <v>184</v>
      </c>
      <c r="D482" s="54" t="s">
        <v>823</v>
      </c>
      <c r="E482" s="54" t="s">
        <v>312</v>
      </c>
      <c r="F482" s="19">
        <f>F483</f>
        <v>2494.7</v>
      </c>
      <c r="G482" s="19">
        <f t="shared" si="20"/>
        <v>2494.7</v>
      </c>
      <c r="H482" s="20"/>
    </row>
    <row r="483" spans="1:8" ht="60">
      <c r="A483" s="36" t="s">
        <v>1005</v>
      </c>
      <c r="B483" s="54" t="s">
        <v>1338</v>
      </c>
      <c r="C483" s="54" t="s">
        <v>184</v>
      </c>
      <c r="D483" s="54" t="s">
        <v>823</v>
      </c>
      <c r="E483" s="54" t="s">
        <v>1174</v>
      </c>
      <c r="F483" s="19">
        <f>F484</f>
        <v>2494.7</v>
      </c>
      <c r="G483" s="19">
        <f t="shared" si="20"/>
        <v>2494.7</v>
      </c>
      <c r="H483" s="20"/>
    </row>
    <row r="484" spans="1:8" ht="72">
      <c r="A484" s="18" t="s">
        <v>1129</v>
      </c>
      <c r="B484" s="54" t="s">
        <v>1338</v>
      </c>
      <c r="C484" s="54" t="s">
        <v>184</v>
      </c>
      <c r="D484" s="54" t="s">
        <v>823</v>
      </c>
      <c r="E484" s="54" t="s">
        <v>1174</v>
      </c>
      <c r="F484" s="20">
        <v>2494.7</v>
      </c>
      <c r="G484" s="19">
        <f t="shared" si="20"/>
        <v>2494.7</v>
      </c>
      <c r="H484" s="20"/>
    </row>
    <row r="485" spans="1:8" ht="36">
      <c r="A485" s="36" t="s">
        <v>459</v>
      </c>
      <c r="B485" s="54" t="s">
        <v>1338</v>
      </c>
      <c r="C485" s="54" t="s">
        <v>184</v>
      </c>
      <c r="D485" s="54" t="s">
        <v>823</v>
      </c>
      <c r="E485" s="54" t="s">
        <v>641</v>
      </c>
      <c r="F485" s="19">
        <f>F486+F488</f>
        <v>21064</v>
      </c>
      <c r="G485" s="19">
        <f t="shared" si="20"/>
        <v>21064</v>
      </c>
      <c r="H485" s="20"/>
    </row>
    <row r="486" spans="1:8" ht="24">
      <c r="A486" s="18" t="s">
        <v>390</v>
      </c>
      <c r="B486" s="54" t="s">
        <v>1338</v>
      </c>
      <c r="C486" s="54" t="s">
        <v>184</v>
      </c>
      <c r="D486" s="54" t="s">
        <v>823</v>
      </c>
      <c r="E486" s="54" t="s">
        <v>419</v>
      </c>
      <c r="F486" s="19">
        <f>F487</f>
        <v>4000</v>
      </c>
      <c r="G486" s="19">
        <f t="shared" si="20"/>
        <v>4000</v>
      </c>
      <c r="H486" s="20"/>
    </row>
    <row r="487" spans="1:8" ht="60">
      <c r="A487" s="18" t="s">
        <v>426</v>
      </c>
      <c r="B487" s="54" t="s">
        <v>1338</v>
      </c>
      <c r="C487" s="54" t="s">
        <v>184</v>
      </c>
      <c r="D487" s="54" t="s">
        <v>823</v>
      </c>
      <c r="E487" s="54" t="s">
        <v>419</v>
      </c>
      <c r="F487" s="20">
        <f>3400+430+170</f>
        <v>4000</v>
      </c>
      <c r="G487" s="19">
        <f t="shared" si="20"/>
        <v>4000</v>
      </c>
      <c r="H487" s="20"/>
    </row>
    <row r="488" spans="1:8" ht="24">
      <c r="A488" s="18" t="s">
        <v>747</v>
      </c>
      <c r="B488" s="54" t="s">
        <v>1338</v>
      </c>
      <c r="C488" s="54" t="s">
        <v>184</v>
      </c>
      <c r="D488" s="54" t="s">
        <v>823</v>
      </c>
      <c r="E488" s="54" t="s">
        <v>244</v>
      </c>
      <c r="F488" s="19">
        <f>F489</f>
        <v>17064</v>
      </c>
      <c r="G488" s="19">
        <f t="shared" si="20"/>
        <v>17064</v>
      </c>
      <c r="H488" s="20"/>
    </row>
    <row r="489" spans="1:8" ht="108">
      <c r="A489" s="18" t="s">
        <v>868</v>
      </c>
      <c r="B489" s="54" t="s">
        <v>1338</v>
      </c>
      <c r="C489" s="54" t="s">
        <v>184</v>
      </c>
      <c r="D489" s="54" t="s">
        <v>823</v>
      </c>
      <c r="E489" s="54" t="s">
        <v>244</v>
      </c>
      <c r="F489" s="20">
        <f>500+84+8420.4+1579.6+450+1830+4200</f>
        <v>17064</v>
      </c>
      <c r="G489" s="19">
        <f t="shared" si="20"/>
        <v>17064</v>
      </c>
      <c r="H489" s="20"/>
    </row>
    <row r="490" spans="1:8" ht="15">
      <c r="A490" s="181" t="s">
        <v>1357</v>
      </c>
      <c r="B490" s="17" t="s">
        <v>1338</v>
      </c>
      <c r="C490" s="17" t="s">
        <v>1154</v>
      </c>
      <c r="D490" s="172"/>
      <c r="E490" s="17"/>
      <c r="F490" s="19">
        <f>F491+F503+F654</f>
        <v>1393907</v>
      </c>
      <c r="G490" s="19">
        <f t="shared" si="20"/>
        <v>407894.9999999999</v>
      </c>
      <c r="H490" s="19">
        <f>H503</f>
        <v>986012.0000000001</v>
      </c>
    </row>
    <row r="491" spans="1:8" ht="36">
      <c r="A491" s="183" t="s">
        <v>1436</v>
      </c>
      <c r="B491" s="172" t="s">
        <v>1338</v>
      </c>
      <c r="C491" s="17" t="s">
        <v>1154</v>
      </c>
      <c r="D491" s="172" t="s">
        <v>197</v>
      </c>
      <c r="E491" s="17"/>
      <c r="F491" s="19">
        <f>F492+F499</f>
        <v>102847</v>
      </c>
      <c r="G491" s="19">
        <f t="shared" si="20"/>
        <v>102847</v>
      </c>
      <c r="H491" s="19"/>
    </row>
    <row r="492" spans="1:8" ht="48">
      <c r="A492" s="132" t="s">
        <v>198</v>
      </c>
      <c r="B492" s="172" t="s">
        <v>1338</v>
      </c>
      <c r="C492" s="17" t="s">
        <v>1154</v>
      </c>
      <c r="D492" s="172" t="s">
        <v>1063</v>
      </c>
      <c r="E492" s="17"/>
      <c r="F492" s="19">
        <f>F493+F497</f>
        <v>102822</v>
      </c>
      <c r="G492" s="19">
        <f t="shared" si="20"/>
        <v>102822</v>
      </c>
      <c r="H492" s="19">
        <f>H493+H497</f>
        <v>0</v>
      </c>
    </row>
    <row r="493" spans="1:8" ht="93" customHeight="1">
      <c r="A493" s="132" t="s">
        <v>1396</v>
      </c>
      <c r="B493" s="172" t="s">
        <v>1338</v>
      </c>
      <c r="C493" s="17" t="s">
        <v>1154</v>
      </c>
      <c r="D493" s="172" t="s">
        <v>1244</v>
      </c>
      <c r="E493" s="17"/>
      <c r="F493" s="19">
        <f>F494</f>
        <v>3840</v>
      </c>
      <c r="G493" s="19">
        <f t="shared" si="20"/>
        <v>3840</v>
      </c>
      <c r="H493" s="19">
        <f>H494</f>
        <v>0</v>
      </c>
    </row>
    <row r="494" spans="1:8" ht="36">
      <c r="A494" s="36" t="s">
        <v>459</v>
      </c>
      <c r="B494" s="172" t="s">
        <v>1338</v>
      </c>
      <c r="C494" s="17" t="s">
        <v>1154</v>
      </c>
      <c r="D494" s="172" t="s">
        <v>1244</v>
      </c>
      <c r="E494" s="17" t="s">
        <v>641</v>
      </c>
      <c r="F494" s="19">
        <f>F495</f>
        <v>3840</v>
      </c>
      <c r="G494" s="19">
        <f t="shared" si="20"/>
        <v>3840</v>
      </c>
      <c r="H494" s="19">
        <f>H495</f>
        <v>0</v>
      </c>
    </row>
    <row r="495" spans="1:8" ht="24">
      <c r="A495" s="182" t="s">
        <v>418</v>
      </c>
      <c r="B495" s="172" t="s">
        <v>1338</v>
      </c>
      <c r="C495" s="17" t="s">
        <v>1154</v>
      </c>
      <c r="D495" s="172" t="s">
        <v>1244</v>
      </c>
      <c r="E495" s="17" t="s">
        <v>419</v>
      </c>
      <c r="F495" s="20">
        <v>3840</v>
      </c>
      <c r="G495" s="19">
        <f t="shared" si="20"/>
        <v>3840</v>
      </c>
      <c r="H495" s="19"/>
    </row>
    <row r="496" spans="1:8" ht="36">
      <c r="A496" s="36" t="s">
        <v>459</v>
      </c>
      <c r="B496" s="17" t="s">
        <v>1338</v>
      </c>
      <c r="C496" s="17" t="s">
        <v>1154</v>
      </c>
      <c r="D496" s="172" t="s">
        <v>60</v>
      </c>
      <c r="E496" s="17" t="s">
        <v>641</v>
      </c>
      <c r="F496" s="19">
        <f>F497</f>
        <v>98982</v>
      </c>
      <c r="G496" s="19">
        <f t="shared" si="20"/>
        <v>98982</v>
      </c>
      <c r="H496" s="19"/>
    </row>
    <row r="497" spans="1:8" ht="24">
      <c r="A497" s="182" t="s">
        <v>418</v>
      </c>
      <c r="B497" s="17" t="s">
        <v>1338</v>
      </c>
      <c r="C497" s="17" t="s">
        <v>1154</v>
      </c>
      <c r="D497" s="172" t="s">
        <v>60</v>
      </c>
      <c r="E497" s="17" t="s">
        <v>419</v>
      </c>
      <c r="F497" s="20">
        <f>92892+3560+3330-800</f>
        <v>98982</v>
      </c>
      <c r="G497" s="19">
        <f t="shared" si="20"/>
        <v>98982</v>
      </c>
      <c r="H497" s="19"/>
    </row>
    <row r="498" spans="1:8" ht="22.5" customHeight="1" hidden="1">
      <c r="A498" s="18" t="s">
        <v>417</v>
      </c>
      <c r="B498" s="17" t="s">
        <v>1338</v>
      </c>
      <c r="C498" s="17" t="s">
        <v>1154</v>
      </c>
      <c r="D498" s="172" t="s">
        <v>60</v>
      </c>
      <c r="E498" s="17" t="s">
        <v>420</v>
      </c>
      <c r="F498" s="20">
        <v>92892</v>
      </c>
      <c r="G498" s="19">
        <f t="shared" si="20"/>
        <v>92892</v>
      </c>
      <c r="H498" s="19"/>
    </row>
    <row r="499" spans="1:8" ht="50.25" customHeight="1">
      <c r="A499" s="18" t="s">
        <v>1351</v>
      </c>
      <c r="B499" s="17" t="s">
        <v>1338</v>
      </c>
      <c r="C499" s="17" t="s">
        <v>1154</v>
      </c>
      <c r="D499" s="172" t="s">
        <v>781</v>
      </c>
      <c r="E499" s="17"/>
      <c r="F499" s="19">
        <f>F500</f>
        <v>25</v>
      </c>
      <c r="G499" s="19">
        <f>F499</f>
        <v>25</v>
      </c>
      <c r="H499" s="19"/>
    </row>
    <row r="500" spans="1:8" ht="37.5" customHeight="1">
      <c r="A500" s="36" t="s">
        <v>459</v>
      </c>
      <c r="B500" s="17" t="s">
        <v>1338</v>
      </c>
      <c r="C500" s="17" t="s">
        <v>1154</v>
      </c>
      <c r="D500" s="172" t="s">
        <v>774</v>
      </c>
      <c r="E500" s="17" t="s">
        <v>641</v>
      </c>
      <c r="F500" s="20">
        <f>F501</f>
        <v>25</v>
      </c>
      <c r="G500" s="19">
        <f>F500</f>
        <v>25</v>
      </c>
      <c r="H500" s="19"/>
    </row>
    <row r="501" spans="1:8" ht="22.5" customHeight="1">
      <c r="A501" s="182" t="s">
        <v>460</v>
      </c>
      <c r="B501" s="17" t="s">
        <v>1338</v>
      </c>
      <c r="C501" s="17" t="s">
        <v>1154</v>
      </c>
      <c r="D501" s="172" t="s">
        <v>774</v>
      </c>
      <c r="E501" s="17" t="s">
        <v>419</v>
      </c>
      <c r="F501" s="20">
        <v>25</v>
      </c>
      <c r="G501" s="19">
        <f>F501</f>
        <v>25</v>
      </c>
      <c r="H501" s="19"/>
    </row>
    <row r="502" spans="1:8" ht="22.5" customHeight="1">
      <c r="A502" s="182" t="s">
        <v>236</v>
      </c>
      <c r="B502" s="17" t="s">
        <v>1338</v>
      </c>
      <c r="C502" s="17" t="s">
        <v>1154</v>
      </c>
      <c r="D502" s="172" t="s">
        <v>774</v>
      </c>
      <c r="E502" s="17" t="s">
        <v>419</v>
      </c>
      <c r="F502" s="20">
        <v>25</v>
      </c>
      <c r="G502" s="19">
        <f>F502</f>
        <v>25</v>
      </c>
      <c r="H502" s="19"/>
    </row>
    <row r="503" spans="1:8" ht="36">
      <c r="A503" s="177" t="s">
        <v>1037</v>
      </c>
      <c r="B503" s="174" t="s">
        <v>1338</v>
      </c>
      <c r="C503" s="174" t="s">
        <v>1154</v>
      </c>
      <c r="D503" s="175" t="s">
        <v>1376</v>
      </c>
      <c r="E503" s="17"/>
      <c r="F503" s="19">
        <f>F504+F518+F521+F531+F535+F542+F547+F552+F573+F592+F610+F631</f>
        <v>1290085</v>
      </c>
      <c r="G503" s="19">
        <f t="shared" si="20"/>
        <v>304072.9999999999</v>
      </c>
      <c r="H503" s="19">
        <f>H504+H518+H521+H531+H535+H542+H547+H552+H573+H592+H610+H629</f>
        <v>986012.0000000001</v>
      </c>
    </row>
    <row r="504" spans="1:8" ht="38.25" customHeight="1">
      <c r="A504" s="173" t="s">
        <v>831</v>
      </c>
      <c r="B504" s="174" t="s">
        <v>1338</v>
      </c>
      <c r="C504" s="174" t="s">
        <v>1154</v>
      </c>
      <c r="D504" s="176" t="s">
        <v>1383</v>
      </c>
      <c r="E504" s="171"/>
      <c r="F504" s="19">
        <f>F508+F515+F505</f>
        <v>877774.6000000001</v>
      </c>
      <c r="G504" s="19">
        <f t="shared" si="20"/>
        <v>4967.599999999977</v>
      </c>
      <c r="H504" s="19">
        <f>H508+H515</f>
        <v>872807.0000000001</v>
      </c>
    </row>
    <row r="505" spans="1:8" ht="33.75" customHeight="1">
      <c r="A505" s="36" t="s">
        <v>124</v>
      </c>
      <c r="B505" s="174" t="s">
        <v>1338</v>
      </c>
      <c r="C505" s="174" t="s">
        <v>1154</v>
      </c>
      <c r="D505" s="176" t="s">
        <v>125</v>
      </c>
      <c r="E505" s="171" t="s">
        <v>1204</v>
      </c>
      <c r="F505" s="19">
        <f>F506</f>
        <v>4967.6</v>
      </c>
      <c r="G505" s="19"/>
      <c r="H505" s="19"/>
    </row>
    <row r="506" spans="1:8" ht="33" customHeight="1">
      <c r="A506" s="18" t="s">
        <v>746</v>
      </c>
      <c r="B506" s="174" t="s">
        <v>1338</v>
      </c>
      <c r="C506" s="174" t="s">
        <v>1154</v>
      </c>
      <c r="D506" s="176" t="s">
        <v>125</v>
      </c>
      <c r="E506" s="171" t="s">
        <v>244</v>
      </c>
      <c r="F506" s="19">
        <f>F507</f>
        <v>4967.6</v>
      </c>
      <c r="G506" s="19"/>
      <c r="H506" s="19"/>
    </row>
    <row r="507" spans="1:8" ht="66.75" customHeight="1">
      <c r="A507" s="173" t="s">
        <v>123</v>
      </c>
      <c r="B507" s="174" t="s">
        <v>1338</v>
      </c>
      <c r="C507" s="174" t="s">
        <v>1154</v>
      </c>
      <c r="D507" s="176" t="s">
        <v>125</v>
      </c>
      <c r="E507" s="171" t="s">
        <v>244</v>
      </c>
      <c r="F507" s="20">
        <f>4967.6</f>
        <v>4967.6</v>
      </c>
      <c r="G507" s="19"/>
      <c r="H507" s="19"/>
    </row>
    <row r="508" spans="1:8" ht="168">
      <c r="A508" s="36" t="s">
        <v>1183</v>
      </c>
      <c r="B508" s="17" t="s">
        <v>1338</v>
      </c>
      <c r="C508" s="17" t="s">
        <v>1154</v>
      </c>
      <c r="D508" s="176" t="s">
        <v>1384</v>
      </c>
      <c r="E508" s="17" t="s">
        <v>1204</v>
      </c>
      <c r="F508" s="19">
        <f>F509</f>
        <v>854248.0000000001</v>
      </c>
      <c r="G508" s="19">
        <f t="shared" si="20"/>
        <v>0</v>
      </c>
      <c r="H508" s="19">
        <f>H509</f>
        <v>854248.0000000001</v>
      </c>
    </row>
    <row r="509" spans="1:8" ht="36">
      <c r="A509" s="36" t="s">
        <v>459</v>
      </c>
      <c r="B509" s="17" t="s">
        <v>1338</v>
      </c>
      <c r="C509" s="17" t="s">
        <v>1154</v>
      </c>
      <c r="D509" s="176" t="s">
        <v>1384</v>
      </c>
      <c r="E509" s="17" t="s">
        <v>641</v>
      </c>
      <c r="F509" s="19">
        <f>F510+F512</f>
        <v>854248.0000000001</v>
      </c>
      <c r="G509" s="19"/>
      <c r="H509" s="19">
        <f>H510+H512</f>
        <v>854248.0000000001</v>
      </c>
    </row>
    <row r="510" spans="1:8" ht="24">
      <c r="A510" s="18" t="s">
        <v>460</v>
      </c>
      <c r="B510" s="17" t="s">
        <v>1338</v>
      </c>
      <c r="C510" s="17" t="s">
        <v>1154</v>
      </c>
      <c r="D510" s="176" t="s">
        <v>1384</v>
      </c>
      <c r="E510" s="17" t="s">
        <v>419</v>
      </c>
      <c r="F510" s="20">
        <f>28259+537.9</f>
        <v>28796.9</v>
      </c>
      <c r="G510" s="19">
        <f t="shared" si="20"/>
        <v>0</v>
      </c>
      <c r="H510" s="20">
        <f>28259+537.9</f>
        <v>28796.9</v>
      </c>
    </row>
    <row r="511" spans="1:8" ht="24">
      <c r="A511" s="18" t="s">
        <v>1385</v>
      </c>
      <c r="B511" s="17" t="s">
        <v>1338</v>
      </c>
      <c r="C511" s="17" t="s">
        <v>1154</v>
      </c>
      <c r="D511" s="176" t="s">
        <v>1384</v>
      </c>
      <c r="E511" s="17" t="s">
        <v>419</v>
      </c>
      <c r="F511" s="20">
        <v>537.9</v>
      </c>
      <c r="G511" s="19">
        <f t="shared" si="20"/>
        <v>0</v>
      </c>
      <c r="H511" s="20">
        <v>537.9</v>
      </c>
    </row>
    <row r="512" spans="1:8" ht="24">
      <c r="A512" s="18" t="s">
        <v>746</v>
      </c>
      <c r="B512" s="17" t="s">
        <v>1338</v>
      </c>
      <c r="C512" s="17" t="s">
        <v>1154</v>
      </c>
      <c r="D512" s="176" t="s">
        <v>1384</v>
      </c>
      <c r="E512" s="17" t="s">
        <v>244</v>
      </c>
      <c r="F512" s="20">
        <f>777069.3+30381.8+13500+4500</f>
        <v>825451.1000000001</v>
      </c>
      <c r="G512" s="19">
        <f t="shared" si="20"/>
        <v>0</v>
      </c>
      <c r="H512" s="20">
        <f>F512</f>
        <v>825451.1000000001</v>
      </c>
    </row>
    <row r="513" spans="1:8" ht="24" hidden="1">
      <c r="A513" s="18" t="s">
        <v>1457</v>
      </c>
      <c r="B513" s="17" t="s">
        <v>1338</v>
      </c>
      <c r="C513" s="17" t="s">
        <v>1154</v>
      </c>
      <c r="D513" s="176" t="s">
        <v>1384</v>
      </c>
      <c r="E513" s="17" t="s">
        <v>245</v>
      </c>
      <c r="F513" s="20"/>
      <c r="G513" s="19">
        <f t="shared" si="20"/>
        <v>0</v>
      </c>
      <c r="H513" s="20"/>
    </row>
    <row r="514" spans="1:8" ht="24">
      <c r="A514" s="18" t="s">
        <v>1386</v>
      </c>
      <c r="B514" s="17" t="s">
        <v>1338</v>
      </c>
      <c r="C514" s="17" t="s">
        <v>1154</v>
      </c>
      <c r="D514" s="176" t="s">
        <v>1384</v>
      </c>
      <c r="E514" s="17" t="s">
        <v>244</v>
      </c>
      <c r="F514" s="20">
        <v>30381.8</v>
      </c>
      <c r="G514" s="19">
        <f t="shared" si="20"/>
        <v>0</v>
      </c>
      <c r="H514" s="20">
        <v>30381.8</v>
      </c>
    </row>
    <row r="515" spans="1:8" ht="168">
      <c r="A515" s="178" t="s">
        <v>249</v>
      </c>
      <c r="B515" s="54" t="s">
        <v>1338</v>
      </c>
      <c r="C515" s="54" t="s">
        <v>1154</v>
      </c>
      <c r="D515" s="54" t="s">
        <v>250</v>
      </c>
      <c r="E515" s="54" t="s">
        <v>1204</v>
      </c>
      <c r="F515" s="19">
        <f>F517</f>
        <v>18559</v>
      </c>
      <c r="G515" s="19">
        <f>F515-H515</f>
        <v>0</v>
      </c>
      <c r="H515" s="19">
        <f>H517</f>
        <v>18559</v>
      </c>
    </row>
    <row r="516" spans="1:8" ht="36">
      <c r="A516" s="36" t="s">
        <v>459</v>
      </c>
      <c r="B516" s="54" t="s">
        <v>1338</v>
      </c>
      <c r="C516" s="54" t="s">
        <v>1154</v>
      </c>
      <c r="D516" s="54" t="s">
        <v>250</v>
      </c>
      <c r="E516" s="54" t="s">
        <v>641</v>
      </c>
      <c r="F516" s="19">
        <f>F517</f>
        <v>18559</v>
      </c>
      <c r="G516" s="19"/>
      <c r="H516" s="19">
        <f>H517</f>
        <v>18559</v>
      </c>
    </row>
    <row r="517" spans="1:8" ht="36">
      <c r="A517" s="179" t="s">
        <v>825</v>
      </c>
      <c r="B517" s="54" t="s">
        <v>1338</v>
      </c>
      <c r="C517" s="54" t="s">
        <v>1154</v>
      </c>
      <c r="D517" s="54" t="s">
        <v>250</v>
      </c>
      <c r="E517" s="54" t="s">
        <v>1078</v>
      </c>
      <c r="F517" s="20">
        <f>18022+465+73-1</f>
        <v>18559</v>
      </c>
      <c r="G517" s="19">
        <f>F517-H517</f>
        <v>0</v>
      </c>
      <c r="H517" s="20">
        <f>18022+465+73-1</f>
        <v>18559</v>
      </c>
    </row>
    <row r="518" spans="1:8" ht="60" hidden="1">
      <c r="A518" s="36" t="s">
        <v>885</v>
      </c>
      <c r="B518" s="17" t="s">
        <v>1338</v>
      </c>
      <c r="C518" s="17" t="s">
        <v>1154</v>
      </c>
      <c r="D518" s="176" t="s">
        <v>598</v>
      </c>
      <c r="E518" s="17"/>
      <c r="F518" s="19">
        <f>F519</f>
        <v>0</v>
      </c>
      <c r="G518" s="19">
        <f t="shared" si="20"/>
        <v>0</v>
      </c>
      <c r="H518" s="19">
        <f>H519</f>
        <v>0</v>
      </c>
    </row>
    <row r="519" spans="1:8" ht="36" hidden="1">
      <c r="A519" s="36" t="s">
        <v>459</v>
      </c>
      <c r="B519" s="17" t="s">
        <v>1338</v>
      </c>
      <c r="C519" s="17" t="s">
        <v>1154</v>
      </c>
      <c r="D519" s="176" t="s">
        <v>1065</v>
      </c>
      <c r="E519" s="17" t="s">
        <v>641</v>
      </c>
      <c r="F519" s="19">
        <f>F520</f>
        <v>0</v>
      </c>
      <c r="G519" s="19"/>
      <c r="H519" s="19">
        <f>H520</f>
        <v>0</v>
      </c>
    </row>
    <row r="520" spans="1:8" ht="15" hidden="1">
      <c r="A520" s="18" t="s">
        <v>515</v>
      </c>
      <c r="B520" s="17" t="s">
        <v>1338</v>
      </c>
      <c r="C520" s="17" t="s">
        <v>1154</v>
      </c>
      <c r="D520" s="176" t="s">
        <v>1065</v>
      </c>
      <c r="E520" s="17" t="s">
        <v>244</v>
      </c>
      <c r="F520" s="20"/>
      <c r="G520" s="19">
        <f t="shared" si="20"/>
        <v>0</v>
      </c>
      <c r="H520" s="20"/>
    </row>
    <row r="521" spans="1:8" ht="52.5" customHeight="1">
      <c r="A521" s="36" t="s">
        <v>890</v>
      </c>
      <c r="B521" s="17" t="s">
        <v>1338</v>
      </c>
      <c r="C521" s="17" t="s">
        <v>1154</v>
      </c>
      <c r="D521" s="17" t="s">
        <v>1387</v>
      </c>
      <c r="E521" s="17" t="s">
        <v>1204</v>
      </c>
      <c r="F521" s="19">
        <f>F522</f>
        <v>37873</v>
      </c>
      <c r="G521" s="19">
        <f t="shared" si="20"/>
        <v>0</v>
      </c>
      <c r="H521" s="19">
        <f>H522</f>
        <v>37873</v>
      </c>
    </row>
    <row r="522" spans="1:8" ht="39" customHeight="1">
      <c r="A522" s="36" t="s">
        <v>459</v>
      </c>
      <c r="B522" s="17" t="s">
        <v>1338</v>
      </c>
      <c r="C522" s="17" t="s">
        <v>1154</v>
      </c>
      <c r="D522" s="17" t="s">
        <v>1387</v>
      </c>
      <c r="E522" s="17" t="s">
        <v>641</v>
      </c>
      <c r="F522" s="19">
        <f>F523+F525+F526</f>
        <v>37873</v>
      </c>
      <c r="G522" s="19"/>
      <c r="H522" s="19">
        <f>H523+H525+H526</f>
        <v>37873</v>
      </c>
    </row>
    <row r="523" spans="1:8" ht="24">
      <c r="A523" s="18" t="s">
        <v>418</v>
      </c>
      <c r="B523" s="17" t="s">
        <v>1338</v>
      </c>
      <c r="C523" s="17" t="s">
        <v>1154</v>
      </c>
      <c r="D523" s="17" t="s">
        <v>1387</v>
      </c>
      <c r="E523" s="17" t="s">
        <v>419</v>
      </c>
      <c r="F523" s="20">
        <v>280</v>
      </c>
      <c r="G523" s="19">
        <f t="shared" si="20"/>
        <v>0</v>
      </c>
      <c r="H523" s="19">
        <v>280</v>
      </c>
    </row>
    <row r="524" spans="1:8" ht="24" hidden="1">
      <c r="A524" s="18" t="s">
        <v>417</v>
      </c>
      <c r="B524" s="17" t="s">
        <v>1338</v>
      </c>
      <c r="C524" s="17" t="s">
        <v>1154</v>
      </c>
      <c r="D524" s="17" t="s">
        <v>1387</v>
      </c>
      <c r="E524" s="17" t="s">
        <v>420</v>
      </c>
      <c r="F524" s="20">
        <v>267</v>
      </c>
      <c r="G524" s="19">
        <f t="shared" si="20"/>
        <v>0</v>
      </c>
      <c r="H524" s="80">
        <v>267</v>
      </c>
    </row>
    <row r="525" spans="1:8" ht="24">
      <c r="A525" s="18" t="s">
        <v>515</v>
      </c>
      <c r="B525" s="17" t="s">
        <v>1338</v>
      </c>
      <c r="C525" s="17" t="s">
        <v>1154</v>
      </c>
      <c r="D525" s="17" t="s">
        <v>1387</v>
      </c>
      <c r="E525" s="17" t="s">
        <v>244</v>
      </c>
      <c r="F525" s="20">
        <v>36950</v>
      </c>
      <c r="G525" s="19">
        <f t="shared" si="20"/>
        <v>0</v>
      </c>
      <c r="H525" s="19">
        <v>36950</v>
      </c>
    </row>
    <row r="526" spans="1:8" ht="36">
      <c r="A526" s="179" t="s">
        <v>825</v>
      </c>
      <c r="B526" s="17" t="s">
        <v>1338</v>
      </c>
      <c r="C526" s="17" t="s">
        <v>1154</v>
      </c>
      <c r="D526" s="17" t="s">
        <v>1387</v>
      </c>
      <c r="E526" s="17" t="s">
        <v>1078</v>
      </c>
      <c r="F526" s="20">
        <v>643</v>
      </c>
      <c r="G526" s="19">
        <f t="shared" si="20"/>
        <v>0</v>
      </c>
      <c r="H526" s="80">
        <v>643</v>
      </c>
    </row>
    <row r="527" spans="1:8" ht="24" hidden="1">
      <c r="A527" s="18" t="s">
        <v>1054</v>
      </c>
      <c r="B527" s="17" t="s">
        <v>1338</v>
      </c>
      <c r="C527" s="17" t="s">
        <v>1154</v>
      </c>
      <c r="D527" s="17" t="s">
        <v>1387</v>
      </c>
      <c r="E527" s="17" t="s">
        <v>1104</v>
      </c>
      <c r="F527" s="20"/>
      <c r="G527" s="19">
        <f t="shared" si="20"/>
        <v>0</v>
      </c>
      <c r="H527" s="80"/>
    </row>
    <row r="528" spans="1:8" ht="72" hidden="1">
      <c r="A528" s="18" t="s">
        <v>740</v>
      </c>
      <c r="B528" s="17" t="s">
        <v>1338</v>
      </c>
      <c r="C528" s="17" t="s">
        <v>1154</v>
      </c>
      <c r="D528" s="17" t="s">
        <v>1387</v>
      </c>
      <c r="E528" s="17" t="s">
        <v>1104</v>
      </c>
      <c r="F528" s="20"/>
      <c r="G528" s="19">
        <f t="shared" si="20"/>
        <v>0</v>
      </c>
      <c r="H528" s="80"/>
    </row>
    <row r="529" spans="1:8" ht="48" hidden="1">
      <c r="A529" s="18" t="s">
        <v>741</v>
      </c>
      <c r="B529" s="17" t="s">
        <v>1338</v>
      </c>
      <c r="C529" s="17" t="s">
        <v>1154</v>
      </c>
      <c r="D529" s="17" t="s">
        <v>1387</v>
      </c>
      <c r="E529" s="17" t="s">
        <v>1104</v>
      </c>
      <c r="F529" s="20"/>
      <c r="G529" s="19">
        <f t="shared" si="20"/>
        <v>0</v>
      </c>
      <c r="H529" s="80"/>
    </row>
    <row r="530" spans="1:8" ht="24" hidden="1">
      <c r="A530" s="18" t="s">
        <v>236</v>
      </c>
      <c r="B530" s="17" t="s">
        <v>1338</v>
      </c>
      <c r="C530" s="17" t="s">
        <v>1154</v>
      </c>
      <c r="D530" s="17" t="s">
        <v>1387</v>
      </c>
      <c r="E530" s="17" t="s">
        <v>1104</v>
      </c>
      <c r="F530" s="20"/>
      <c r="G530" s="19">
        <f t="shared" si="20"/>
        <v>0</v>
      </c>
      <c r="H530" s="80"/>
    </row>
    <row r="531" spans="1:8" ht="60">
      <c r="A531" s="36" t="s">
        <v>994</v>
      </c>
      <c r="B531" s="17" t="s">
        <v>1338</v>
      </c>
      <c r="C531" s="17" t="s">
        <v>1154</v>
      </c>
      <c r="D531" s="17" t="s">
        <v>1388</v>
      </c>
      <c r="E531" s="17" t="s">
        <v>1204</v>
      </c>
      <c r="F531" s="19">
        <f>F532</f>
        <v>496</v>
      </c>
      <c r="G531" s="19">
        <f t="shared" si="20"/>
        <v>0</v>
      </c>
      <c r="H531" s="19">
        <f>H532</f>
        <v>496</v>
      </c>
    </row>
    <row r="532" spans="1:8" ht="24">
      <c r="A532" s="158" t="s">
        <v>405</v>
      </c>
      <c r="B532" s="17" t="s">
        <v>1338</v>
      </c>
      <c r="C532" s="17" t="s">
        <v>1154</v>
      </c>
      <c r="D532" s="17" t="s">
        <v>1388</v>
      </c>
      <c r="E532" s="17" t="s">
        <v>406</v>
      </c>
      <c r="F532" s="19">
        <f>F533</f>
        <v>496</v>
      </c>
      <c r="G532" s="19"/>
      <c r="H532" s="19">
        <f>H533</f>
        <v>496</v>
      </c>
    </row>
    <row r="533" spans="1:8" ht="36">
      <c r="A533" s="18" t="s">
        <v>546</v>
      </c>
      <c r="B533" s="17" t="s">
        <v>1338</v>
      </c>
      <c r="C533" s="17" t="s">
        <v>1154</v>
      </c>
      <c r="D533" s="17" t="s">
        <v>1388</v>
      </c>
      <c r="E533" s="17" t="s">
        <v>1015</v>
      </c>
      <c r="F533" s="20">
        <v>496</v>
      </c>
      <c r="G533" s="19">
        <f t="shared" si="20"/>
        <v>0</v>
      </c>
      <c r="H533" s="19">
        <f>H534</f>
        <v>496</v>
      </c>
    </row>
    <row r="534" spans="1:8" ht="36" hidden="1">
      <c r="A534" s="18" t="s">
        <v>1064</v>
      </c>
      <c r="B534" s="17" t="s">
        <v>1338</v>
      </c>
      <c r="C534" s="17" t="s">
        <v>1154</v>
      </c>
      <c r="D534" s="17" t="s">
        <v>1388</v>
      </c>
      <c r="E534" s="17" t="s">
        <v>572</v>
      </c>
      <c r="F534" s="20">
        <v>496</v>
      </c>
      <c r="G534" s="19">
        <f t="shared" si="20"/>
        <v>0</v>
      </c>
      <c r="H534" s="80">
        <v>496</v>
      </c>
    </row>
    <row r="535" spans="1:8" ht="60">
      <c r="A535" s="36" t="s">
        <v>885</v>
      </c>
      <c r="B535" s="17" t="s">
        <v>1338</v>
      </c>
      <c r="C535" s="17" t="s">
        <v>1154</v>
      </c>
      <c r="D535" s="17" t="s">
        <v>598</v>
      </c>
      <c r="E535" s="17"/>
      <c r="F535" s="19">
        <f>F536</f>
        <v>60339</v>
      </c>
      <c r="G535" s="19">
        <f>G543+G536+G542</f>
        <v>0</v>
      </c>
      <c r="H535" s="19">
        <f>H536</f>
        <v>60339</v>
      </c>
    </row>
    <row r="536" spans="1:8" ht="168">
      <c r="A536" s="36" t="s">
        <v>89</v>
      </c>
      <c r="B536" s="17" t="s">
        <v>1338</v>
      </c>
      <c r="C536" s="17" t="s">
        <v>1154</v>
      </c>
      <c r="D536" s="17" t="s">
        <v>1065</v>
      </c>
      <c r="E536" s="17" t="s">
        <v>1204</v>
      </c>
      <c r="F536" s="19">
        <f>F537</f>
        <v>60339</v>
      </c>
      <c r="G536" s="19">
        <f aca="true" t="shared" si="21" ref="G536:G552">F536-H536</f>
        <v>0</v>
      </c>
      <c r="H536" s="19">
        <f>H537</f>
        <v>60339</v>
      </c>
    </row>
    <row r="537" spans="1:8" ht="36">
      <c r="A537" s="36" t="s">
        <v>459</v>
      </c>
      <c r="B537" s="17" t="s">
        <v>1338</v>
      </c>
      <c r="C537" s="17" t="s">
        <v>1154</v>
      </c>
      <c r="D537" s="17" t="s">
        <v>1065</v>
      </c>
      <c r="E537" s="17" t="s">
        <v>641</v>
      </c>
      <c r="F537" s="19">
        <f>F538+F541</f>
        <v>60339</v>
      </c>
      <c r="G537" s="19"/>
      <c r="H537" s="19">
        <f>H538+H541</f>
        <v>60339</v>
      </c>
    </row>
    <row r="538" spans="1:8" ht="24">
      <c r="A538" s="18" t="s">
        <v>460</v>
      </c>
      <c r="B538" s="17" t="s">
        <v>1338</v>
      </c>
      <c r="C538" s="17" t="s">
        <v>1154</v>
      </c>
      <c r="D538" s="17" t="s">
        <v>1065</v>
      </c>
      <c r="E538" s="17" t="s">
        <v>419</v>
      </c>
      <c r="F538" s="20">
        <f>59555.8+327.2</f>
        <v>59883</v>
      </c>
      <c r="G538" s="19">
        <f t="shared" si="21"/>
        <v>0</v>
      </c>
      <c r="H538" s="20">
        <f>59806+77</f>
        <v>59883</v>
      </c>
    </row>
    <row r="539" spans="1:8" ht="24" hidden="1">
      <c r="A539" s="18" t="s">
        <v>417</v>
      </c>
      <c r="B539" s="17" t="s">
        <v>1338</v>
      </c>
      <c r="C539" s="17" t="s">
        <v>1154</v>
      </c>
      <c r="D539" s="17" t="s">
        <v>1065</v>
      </c>
      <c r="E539" s="17" t="s">
        <v>420</v>
      </c>
      <c r="F539" s="20"/>
      <c r="G539" s="19">
        <f t="shared" si="21"/>
        <v>0</v>
      </c>
      <c r="H539" s="20">
        <v>0</v>
      </c>
    </row>
    <row r="540" spans="1:8" ht="24">
      <c r="A540" s="18" t="s">
        <v>1385</v>
      </c>
      <c r="B540" s="17" t="s">
        <v>1338</v>
      </c>
      <c r="C540" s="17" t="s">
        <v>1154</v>
      </c>
      <c r="D540" s="17" t="s">
        <v>1065</v>
      </c>
      <c r="E540" s="17" t="s">
        <v>419</v>
      </c>
      <c r="F540" s="20">
        <v>327.2</v>
      </c>
      <c r="G540" s="19">
        <f t="shared" si="21"/>
        <v>0</v>
      </c>
      <c r="H540" s="20">
        <v>327.2</v>
      </c>
    </row>
    <row r="541" spans="1:8" ht="24">
      <c r="A541" s="18" t="s">
        <v>515</v>
      </c>
      <c r="B541" s="17" t="s">
        <v>1338</v>
      </c>
      <c r="C541" s="17" t="s">
        <v>1154</v>
      </c>
      <c r="D541" s="17" t="s">
        <v>1065</v>
      </c>
      <c r="E541" s="17" t="s">
        <v>244</v>
      </c>
      <c r="F541" s="20">
        <v>456</v>
      </c>
      <c r="G541" s="19"/>
      <c r="H541" s="20">
        <v>456</v>
      </c>
    </row>
    <row r="542" spans="1:8" ht="60">
      <c r="A542" s="18" t="s">
        <v>1093</v>
      </c>
      <c r="B542" s="17" t="s">
        <v>1338</v>
      </c>
      <c r="C542" s="17" t="s">
        <v>1154</v>
      </c>
      <c r="D542" s="17" t="s">
        <v>163</v>
      </c>
      <c r="E542" s="17"/>
      <c r="F542" s="19">
        <f>F543</f>
        <v>2602</v>
      </c>
      <c r="G542" s="19">
        <f t="shared" si="21"/>
        <v>0</v>
      </c>
      <c r="H542" s="19">
        <f>H543</f>
        <v>2602</v>
      </c>
    </row>
    <row r="543" spans="1:8" ht="24">
      <c r="A543" s="18" t="s">
        <v>1347</v>
      </c>
      <c r="B543" s="17" t="s">
        <v>1338</v>
      </c>
      <c r="C543" s="17" t="s">
        <v>1154</v>
      </c>
      <c r="D543" s="17" t="s">
        <v>163</v>
      </c>
      <c r="E543" s="17" t="s">
        <v>1204</v>
      </c>
      <c r="F543" s="19">
        <f>F544</f>
        <v>2602</v>
      </c>
      <c r="G543" s="19">
        <f t="shared" si="21"/>
        <v>0</v>
      </c>
      <c r="H543" s="19">
        <f>H544</f>
        <v>2602</v>
      </c>
    </row>
    <row r="544" spans="1:8" ht="36">
      <c r="A544" s="36" t="s">
        <v>459</v>
      </c>
      <c r="B544" s="17" t="s">
        <v>1338</v>
      </c>
      <c r="C544" s="17" t="s">
        <v>1154</v>
      </c>
      <c r="D544" s="17" t="s">
        <v>163</v>
      </c>
      <c r="E544" s="17" t="s">
        <v>641</v>
      </c>
      <c r="F544" s="19">
        <f>F545</f>
        <v>2602</v>
      </c>
      <c r="G544" s="19"/>
      <c r="H544" s="19">
        <f>H545</f>
        <v>2602</v>
      </c>
    </row>
    <row r="545" spans="1:8" ht="24">
      <c r="A545" s="18" t="s">
        <v>418</v>
      </c>
      <c r="B545" s="17" t="s">
        <v>1338</v>
      </c>
      <c r="C545" s="17" t="s">
        <v>1154</v>
      </c>
      <c r="D545" s="17" t="s">
        <v>163</v>
      </c>
      <c r="E545" s="17" t="s">
        <v>419</v>
      </c>
      <c r="F545" s="20">
        <v>2602</v>
      </c>
      <c r="G545" s="19">
        <f t="shared" si="21"/>
        <v>0</v>
      </c>
      <c r="H545" s="19">
        <f>H546</f>
        <v>2602</v>
      </c>
    </row>
    <row r="546" spans="1:8" ht="24" hidden="1">
      <c r="A546" s="18" t="s">
        <v>417</v>
      </c>
      <c r="B546" s="17" t="s">
        <v>1338</v>
      </c>
      <c r="C546" s="17" t="s">
        <v>1154</v>
      </c>
      <c r="D546" s="17" t="s">
        <v>163</v>
      </c>
      <c r="E546" s="17" t="s">
        <v>420</v>
      </c>
      <c r="F546" s="20">
        <v>2602</v>
      </c>
      <c r="G546" s="19">
        <f t="shared" si="21"/>
        <v>0</v>
      </c>
      <c r="H546" s="20">
        <v>2602</v>
      </c>
    </row>
    <row r="547" spans="1:8" ht="84">
      <c r="A547" s="18" t="s">
        <v>116</v>
      </c>
      <c r="B547" s="17" t="s">
        <v>1338</v>
      </c>
      <c r="C547" s="17" t="s">
        <v>1154</v>
      </c>
      <c r="D547" s="17" t="s">
        <v>599</v>
      </c>
      <c r="E547" s="17"/>
      <c r="F547" s="19">
        <f>F548</f>
        <v>2876</v>
      </c>
      <c r="G547" s="19"/>
      <c r="H547" s="19">
        <f>H548</f>
        <v>2876</v>
      </c>
    </row>
    <row r="548" spans="1:8" ht="60">
      <c r="A548" s="18" t="s">
        <v>841</v>
      </c>
      <c r="B548" s="17" t="s">
        <v>1338</v>
      </c>
      <c r="C548" s="17" t="s">
        <v>1154</v>
      </c>
      <c r="D548" s="17" t="s">
        <v>842</v>
      </c>
      <c r="E548" s="17" t="s">
        <v>1204</v>
      </c>
      <c r="F548" s="19">
        <f>F549</f>
        <v>2876</v>
      </c>
      <c r="G548" s="19"/>
      <c r="H548" s="19">
        <f>H549</f>
        <v>2876</v>
      </c>
    </row>
    <row r="549" spans="1:8" ht="36">
      <c r="A549" s="36" t="s">
        <v>459</v>
      </c>
      <c r="B549" s="17" t="s">
        <v>1338</v>
      </c>
      <c r="C549" s="17" t="s">
        <v>1154</v>
      </c>
      <c r="D549" s="17" t="s">
        <v>842</v>
      </c>
      <c r="E549" s="17" t="s">
        <v>641</v>
      </c>
      <c r="F549" s="19">
        <f>F550</f>
        <v>2876</v>
      </c>
      <c r="G549" s="19"/>
      <c r="H549" s="19">
        <f>H550</f>
        <v>2876</v>
      </c>
    </row>
    <row r="550" spans="1:8" ht="24">
      <c r="A550" s="18" t="s">
        <v>418</v>
      </c>
      <c r="B550" s="17" t="s">
        <v>1338</v>
      </c>
      <c r="C550" s="17" t="s">
        <v>1154</v>
      </c>
      <c r="D550" s="17" t="s">
        <v>842</v>
      </c>
      <c r="E550" s="17" t="s">
        <v>419</v>
      </c>
      <c r="F550" s="20">
        <f>3316-440</f>
        <v>2876</v>
      </c>
      <c r="G550" s="19"/>
      <c r="H550" s="19">
        <f>F550</f>
        <v>2876</v>
      </c>
    </row>
    <row r="551" spans="1:8" ht="24" hidden="1">
      <c r="A551" s="18" t="s">
        <v>417</v>
      </c>
      <c r="B551" s="17" t="s">
        <v>1338</v>
      </c>
      <c r="C551" s="17" t="s">
        <v>1154</v>
      </c>
      <c r="D551" s="17" t="s">
        <v>842</v>
      </c>
      <c r="E551" s="17" t="s">
        <v>420</v>
      </c>
      <c r="F551" s="20">
        <v>3316</v>
      </c>
      <c r="G551" s="19">
        <f t="shared" si="21"/>
        <v>0</v>
      </c>
      <c r="H551" s="20">
        <v>3316</v>
      </c>
    </row>
    <row r="552" spans="1:8" ht="36">
      <c r="A552" s="173" t="s">
        <v>252</v>
      </c>
      <c r="B552" s="17" t="s">
        <v>1338</v>
      </c>
      <c r="C552" s="17" t="s">
        <v>1154</v>
      </c>
      <c r="D552" s="17" t="s">
        <v>1383</v>
      </c>
      <c r="E552" s="17"/>
      <c r="F552" s="19">
        <f>F553+F559+F562+F566+F570</f>
        <v>12014</v>
      </c>
      <c r="G552" s="19">
        <f t="shared" si="21"/>
        <v>2995</v>
      </c>
      <c r="H552" s="19">
        <f>H553+H559</f>
        <v>9019</v>
      </c>
    </row>
    <row r="553" spans="1:8" ht="48">
      <c r="A553" s="173" t="s">
        <v>1287</v>
      </c>
      <c r="B553" s="17" t="s">
        <v>1338</v>
      </c>
      <c r="C553" s="17" t="s">
        <v>1154</v>
      </c>
      <c r="D553" s="17" t="s">
        <v>832</v>
      </c>
      <c r="E553" s="17"/>
      <c r="F553" s="19">
        <f>F554</f>
        <v>9019</v>
      </c>
      <c r="G553" s="19"/>
      <c r="H553" s="19">
        <f>H554</f>
        <v>9019</v>
      </c>
    </row>
    <row r="554" spans="1:8" ht="36">
      <c r="A554" s="36" t="s">
        <v>459</v>
      </c>
      <c r="B554" s="17" t="s">
        <v>1338</v>
      </c>
      <c r="C554" s="17" t="s">
        <v>1154</v>
      </c>
      <c r="D554" s="17" t="s">
        <v>832</v>
      </c>
      <c r="E554" s="17" t="s">
        <v>641</v>
      </c>
      <c r="F554" s="19">
        <f>F555+F557</f>
        <v>9019</v>
      </c>
      <c r="G554" s="19"/>
      <c r="H554" s="19">
        <f>H555+H557</f>
        <v>9019</v>
      </c>
    </row>
    <row r="555" spans="1:8" ht="24">
      <c r="A555" s="18" t="s">
        <v>418</v>
      </c>
      <c r="B555" s="17" t="s">
        <v>1338</v>
      </c>
      <c r="C555" s="17" t="s">
        <v>1154</v>
      </c>
      <c r="D555" s="17" t="s">
        <v>832</v>
      </c>
      <c r="E555" s="17" t="s">
        <v>419</v>
      </c>
      <c r="F555" s="20">
        <v>181</v>
      </c>
      <c r="G555" s="19">
        <f aca="true" t="shared" si="22" ref="G555:G573">F555-H555</f>
        <v>0</v>
      </c>
      <c r="H555" s="20">
        <f>H556</f>
        <v>181</v>
      </c>
    </row>
    <row r="556" spans="1:8" ht="24" hidden="1">
      <c r="A556" s="18" t="s">
        <v>417</v>
      </c>
      <c r="B556" s="17" t="s">
        <v>1338</v>
      </c>
      <c r="C556" s="17" t="s">
        <v>1154</v>
      </c>
      <c r="D556" s="17" t="s">
        <v>832</v>
      </c>
      <c r="E556" s="17" t="s">
        <v>420</v>
      </c>
      <c r="F556" s="20">
        <v>181</v>
      </c>
      <c r="G556" s="19">
        <f t="shared" si="22"/>
        <v>0</v>
      </c>
      <c r="H556" s="20">
        <v>181</v>
      </c>
    </row>
    <row r="557" spans="1:8" ht="24">
      <c r="A557" s="18" t="s">
        <v>515</v>
      </c>
      <c r="B557" s="17" t="s">
        <v>1338</v>
      </c>
      <c r="C557" s="17" t="s">
        <v>1154</v>
      </c>
      <c r="D557" s="17" t="s">
        <v>832</v>
      </c>
      <c r="E557" s="17" t="s">
        <v>244</v>
      </c>
      <c r="F557" s="20">
        <v>8838</v>
      </c>
      <c r="G557" s="19">
        <f t="shared" si="22"/>
        <v>0</v>
      </c>
      <c r="H557" s="20">
        <v>8838</v>
      </c>
    </row>
    <row r="558" spans="1:8" ht="24" hidden="1">
      <c r="A558" s="18" t="s">
        <v>1457</v>
      </c>
      <c r="B558" s="17" t="s">
        <v>1338</v>
      </c>
      <c r="C558" s="17" t="s">
        <v>1154</v>
      </c>
      <c r="D558" s="17" t="s">
        <v>832</v>
      </c>
      <c r="E558" s="17" t="s">
        <v>245</v>
      </c>
      <c r="F558" s="20"/>
      <c r="G558" s="19">
        <f t="shared" si="22"/>
        <v>0</v>
      </c>
      <c r="H558" s="20"/>
    </row>
    <row r="559" spans="1:8" ht="48">
      <c r="A559" s="18" t="s">
        <v>365</v>
      </c>
      <c r="B559" s="17" t="s">
        <v>1338</v>
      </c>
      <c r="C559" s="17" t="s">
        <v>1154</v>
      </c>
      <c r="D559" s="17" t="s">
        <v>628</v>
      </c>
      <c r="E559" s="17" t="s">
        <v>1204</v>
      </c>
      <c r="F559" s="19">
        <f>F560</f>
        <v>204</v>
      </c>
      <c r="G559" s="19">
        <f t="shared" si="22"/>
        <v>204</v>
      </c>
      <c r="H559" s="20"/>
    </row>
    <row r="560" spans="1:8" ht="36">
      <c r="A560" s="36" t="s">
        <v>459</v>
      </c>
      <c r="B560" s="17" t="s">
        <v>1338</v>
      </c>
      <c r="C560" s="17" t="s">
        <v>1154</v>
      </c>
      <c r="D560" s="17" t="s">
        <v>628</v>
      </c>
      <c r="E560" s="17" t="s">
        <v>641</v>
      </c>
      <c r="F560" s="19">
        <f>F561</f>
        <v>204</v>
      </c>
      <c r="G560" s="19">
        <f t="shared" si="22"/>
        <v>204</v>
      </c>
      <c r="H560" s="20"/>
    </row>
    <row r="561" spans="1:8" ht="24">
      <c r="A561" s="18" t="s">
        <v>243</v>
      </c>
      <c r="B561" s="17" t="s">
        <v>1338</v>
      </c>
      <c r="C561" s="17" t="s">
        <v>1154</v>
      </c>
      <c r="D561" s="17" t="s">
        <v>628</v>
      </c>
      <c r="E561" s="17" t="s">
        <v>244</v>
      </c>
      <c r="F561" s="20">
        <v>204</v>
      </c>
      <c r="G561" s="19">
        <f t="shared" si="22"/>
        <v>204</v>
      </c>
      <c r="H561" s="20"/>
    </row>
    <row r="562" spans="1:8" ht="24">
      <c r="A562" s="18" t="s">
        <v>359</v>
      </c>
      <c r="B562" s="17" t="s">
        <v>1338</v>
      </c>
      <c r="C562" s="17" t="s">
        <v>1154</v>
      </c>
      <c r="D562" s="17" t="s">
        <v>360</v>
      </c>
      <c r="E562" s="17"/>
      <c r="F562" s="19">
        <f>F563</f>
        <v>791</v>
      </c>
      <c r="G562" s="19">
        <f t="shared" si="22"/>
        <v>791</v>
      </c>
      <c r="H562" s="20"/>
    </row>
    <row r="563" spans="1:8" ht="36">
      <c r="A563" s="36" t="s">
        <v>459</v>
      </c>
      <c r="B563" s="17" t="s">
        <v>1338</v>
      </c>
      <c r="C563" s="17" t="s">
        <v>1154</v>
      </c>
      <c r="D563" s="17" t="s">
        <v>360</v>
      </c>
      <c r="E563" s="17" t="s">
        <v>641</v>
      </c>
      <c r="F563" s="19">
        <f>F564+F565</f>
        <v>791</v>
      </c>
      <c r="G563" s="19">
        <f t="shared" si="22"/>
        <v>791</v>
      </c>
      <c r="H563" s="20"/>
    </row>
    <row r="564" spans="1:8" ht="24">
      <c r="A564" s="18" t="s">
        <v>418</v>
      </c>
      <c r="B564" s="17" t="s">
        <v>1338</v>
      </c>
      <c r="C564" s="17" t="s">
        <v>1154</v>
      </c>
      <c r="D564" s="17" t="s">
        <v>360</v>
      </c>
      <c r="E564" s="17" t="s">
        <v>419</v>
      </c>
      <c r="F564" s="20">
        <v>269.5</v>
      </c>
      <c r="G564" s="19">
        <f t="shared" si="22"/>
        <v>269.5</v>
      </c>
      <c r="H564" s="20"/>
    </row>
    <row r="565" spans="1:8" ht="24">
      <c r="A565" s="18" t="s">
        <v>243</v>
      </c>
      <c r="B565" s="17" t="s">
        <v>1338</v>
      </c>
      <c r="C565" s="17" t="s">
        <v>1154</v>
      </c>
      <c r="D565" s="17" t="s">
        <v>360</v>
      </c>
      <c r="E565" s="17" t="s">
        <v>244</v>
      </c>
      <c r="F565" s="20">
        <v>521.5</v>
      </c>
      <c r="G565" s="19">
        <f t="shared" si="22"/>
        <v>521.5</v>
      </c>
      <c r="H565" s="20"/>
    </row>
    <row r="566" spans="1:8" ht="72" hidden="1">
      <c r="A566" s="18" t="s">
        <v>381</v>
      </c>
      <c r="B566" s="17" t="s">
        <v>1338</v>
      </c>
      <c r="C566" s="17" t="s">
        <v>1154</v>
      </c>
      <c r="D566" s="17" t="s">
        <v>380</v>
      </c>
      <c r="E566" s="17"/>
      <c r="F566" s="19">
        <f>F567</f>
        <v>0</v>
      </c>
      <c r="G566" s="19">
        <f t="shared" si="22"/>
        <v>0</v>
      </c>
      <c r="H566" s="20"/>
    </row>
    <row r="567" spans="1:8" ht="36" hidden="1">
      <c r="A567" s="36" t="s">
        <v>459</v>
      </c>
      <c r="B567" s="17" t="s">
        <v>1338</v>
      </c>
      <c r="C567" s="17" t="s">
        <v>1154</v>
      </c>
      <c r="D567" s="17" t="s">
        <v>380</v>
      </c>
      <c r="E567" s="17" t="s">
        <v>641</v>
      </c>
      <c r="F567" s="19">
        <f>F568</f>
        <v>0</v>
      </c>
      <c r="G567" s="19">
        <f t="shared" si="22"/>
        <v>0</v>
      </c>
      <c r="H567" s="20"/>
    </row>
    <row r="568" spans="1:8" ht="24" hidden="1">
      <c r="A568" s="18" t="s">
        <v>747</v>
      </c>
      <c r="B568" s="17" t="s">
        <v>1338</v>
      </c>
      <c r="C568" s="17" t="s">
        <v>1154</v>
      </c>
      <c r="D568" s="17" t="s">
        <v>380</v>
      </c>
      <c r="E568" s="17" t="s">
        <v>244</v>
      </c>
      <c r="F568" s="19">
        <f>F569</f>
        <v>0</v>
      </c>
      <c r="G568" s="19">
        <f t="shared" si="22"/>
        <v>0</v>
      </c>
      <c r="H568" s="20"/>
    </row>
    <row r="569" spans="1:8" ht="84" hidden="1">
      <c r="A569" s="18" t="s">
        <v>1452</v>
      </c>
      <c r="B569" s="17" t="s">
        <v>1338</v>
      </c>
      <c r="C569" s="17" t="s">
        <v>1154</v>
      </c>
      <c r="D569" s="17" t="s">
        <v>380</v>
      </c>
      <c r="E569" s="17" t="s">
        <v>244</v>
      </c>
      <c r="F569" s="20">
        <f>8043-8043</f>
        <v>0</v>
      </c>
      <c r="G569" s="19">
        <f t="shared" si="22"/>
        <v>0</v>
      </c>
      <c r="H569" s="20"/>
    </row>
    <row r="570" spans="1:8" ht="72.75" customHeight="1">
      <c r="A570" s="18" t="s">
        <v>611</v>
      </c>
      <c r="B570" s="17" t="s">
        <v>1338</v>
      </c>
      <c r="C570" s="17" t="s">
        <v>1154</v>
      </c>
      <c r="D570" s="17" t="s">
        <v>610</v>
      </c>
      <c r="E570" s="17" t="s">
        <v>1204</v>
      </c>
      <c r="F570" s="19">
        <f>F571</f>
        <v>2000</v>
      </c>
      <c r="G570" s="19">
        <f t="shared" si="22"/>
        <v>2000</v>
      </c>
      <c r="H570" s="20"/>
    </row>
    <row r="571" spans="1:8" ht="36">
      <c r="A571" s="36" t="s">
        <v>459</v>
      </c>
      <c r="B571" s="17" t="s">
        <v>1338</v>
      </c>
      <c r="C571" s="17" t="s">
        <v>1154</v>
      </c>
      <c r="D571" s="17" t="s">
        <v>610</v>
      </c>
      <c r="E571" s="17" t="s">
        <v>641</v>
      </c>
      <c r="F571" s="19">
        <f>F572</f>
        <v>2000</v>
      </c>
      <c r="G571" s="19">
        <f t="shared" si="22"/>
        <v>2000</v>
      </c>
      <c r="H571" s="20"/>
    </row>
    <row r="572" spans="1:8" ht="24">
      <c r="A572" s="18" t="s">
        <v>1386</v>
      </c>
      <c r="B572" s="17" t="s">
        <v>1338</v>
      </c>
      <c r="C572" s="17" t="s">
        <v>1154</v>
      </c>
      <c r="D572" s="17" t="s">
        <v>610</v>
      </c>
      <c r="E572" s="17" t="s">
        <v>244</v>
      </c>
      <c r="F572" s="20">
        <v>2000</v>
      </c>
      <c r="G572" s="19">
        <f t="shared" si="22"/>
        <v>2000</v>
      </c>
      <c r="H572" s="20"/>
    </row>
    <row r="573" spans="1:8" ht="36">
      <c r="A573" s="173" t="s">
        <v>252</v>
      </c>
      <c r="B573" s="17" t="s">
        <v>1338</v>
      </c>
      <c r="C573" s="17" t="s">
        <v>1154</v>
      </c>
      <c r="D573" s="17" t="s">
        <v>1383</v>
      </c>
      <c r="E573" s="17"/>
      <c r="F573" s="19">
        <f>F574</f>
        <v>129168.50000000001</v>
      </c>
      <c r="G573" s="19">
        <f t="shared" si="22"/>
        <v>129168.50000000001</v>
      </c>
      <c r="H573" s="80"/>
    </row>
    <row r="574" spans="1:8" ht="36">
      <c r="A574" s="36" t="s">
        <v>459</v>
      </c>
      <c r="B574" s="54" t="s">
        <v>1338</v>
      </c>
      <c r="C574" s="54" t="s">
        <v>1154</v>
      </c>
      <c r="D574" s="17" t="s">
        <v>834</v>
      </c>
      <c r="E574" s="17" t="s">
        <v>641</v>
      </c>
      <c r="F574" s="19">
        <f>F575+F578</f>
        <v>129168.50000000001</v>
      </c>
      <c r="G574" s="19">
        <f aca="true" t="shared" si="23" ref="G574:G664">F574-H574</f>
        <v>129168.50000000001</v>
      </c>
      <c r="H574" s="80"/>
    </row>
    <row r="575" spans="1:8" ht="24">
      <c r="A575" s="18" t="s">
        <v>1103</v>
      </c>
      <c r="B575" s="54" t="s">
        <v>1338</v>
      </c>
      <c r="C575" s="54" t="s">
        <v>1154</v>
      </c>
      <c r="D575" s="17" t="s">
        <v>834</v>
      </c>
      <c r="E575" s="54" t="s">
        <v>419</v>
      </c>
      <c r="F575" s="20">
        <f>3796+46</f>
        <v>3842</v>
      </c>
      <c r="G575" s="19">
        <f t="shared" si="23"/>
        <v>3842</v>
      </c>
      <c r="H575" s="80"/>
    </row>
    <row r="576" spans="1:8" ht="24" hidden="1">
      <c r="A576" s="18" t="s">
        <v>519</v>
      </c>
      <c r="B576" s="54" t="s">
        <v>1338</v>
      </c>
      <c r="C576" s="54" t="s">
        <v>1154</v>
      </c>
      <c r="D576" s="17" t="s">
        <v>834</v>
      </c>
      <c r="E576" s="54" t="s">
        <v>419</v>
      </c>
      <c r="F576" s="20">
        <v>0</v>
      </c>
      <c r="G576" s="19">
        <f t="shared" si="23"/>
        <v>0</v>
      </c>
      <c r="H576" s="80"/>
    </row>
    <row r="577" spans="1:8" ht="24" hidden="1">
      <c r="A577" s="18" t="s">
        <v>1385</v>
      </c>
      <c r="B577" s="54" t="s">
        <v>1338</v>
      </c>
      <c r="C577" s="54" t="s">
        <v>1154</v>
      </c>
      <c r="D577" s="17" t="s">
        <v>834</v>
      </c>
      <c r="E577" s="54" t="s">
        <v>419</v>
      </c>
      <c r="F577" s="19"/>
      <c r="G577" s="19">
        <f t="shared" si="23"/>
        <v>0</v>
      </c>
      <c r="H577" s="80"/>
    </row>
    <row r="578" spans="1:8" ht="24">
      <c r="A578" s="18" t="s">
        <v>883</v>
      </c>
      <c r="B578" s="54" t="s">
        <v>1338</v>
      </c>
      <c r="C578" s="54" t="s">
        <v>1154</v>
      </c>
      <c r="D578" s="17" t="s">
        <v>834</v>
      </c>
      <c r="E578" s="54" t="s">
        <v>244</v>
      </c>
      <c r="F578" s="20">
        <f>121948.7+400+117.1+69.8+0.2-201.2+496.8+26+300+1037+1067.5+110.6-46</f>
        <v>125326.50000000001</v>
      </c>
      <c r="G578" s="19">
        <f t="shared" si="23"/>
        <v>125326.50000000001</v>
      </c>
      <c r="H578" s="80"/>
    </row>
    <row r="579" spans="1:8" ht="24" hidden="1">
      <c r="A579" s="18" t="s">
        <v>884</v>
      </c>
      <c r="B579" s="54" t="s">
        <v>1338</v>
      </c>
      <c r="C579" s="54" t="s">
        <v>1154</v>
      </c>
      <c r="D579" s="17" t="s">
        <v>834</v>
      </c>
      <c r="E579" s="54" t="s">
        <v>244</v>
      </c>
      <c r="F579" s="20">
        <f>9496-9496</f>
        <v>0</v>
      </c>
      <c r="G579" s="19">
        <f t="shared" si="23"/>
        <v>0</v>
      </c>
      <c r="H579" s="80"/>
    </row>
    <row r="580" spans="1:8" ht="84" hidden="1">
      <c r="A580" s="18" t="s">
        <v>857</v>
      </c>
      <c r="B580" s="54" t="s">
        <v>1338</v>
      </c>
      <c r="C580" s="54" t="s">
        <v>1154</v>
      </c>
      <c r="D580" s="17" t="s">
        <v>834</v>
      </c>
      <c r="E580" s="54" t="s">
        <v>244</v>
      </c>
      <c r="F580" s="20">
        <f>403-403</f>
        <v>0</v>
      </c>
      <c r="G580" s="19">
        <f t="shared" si="23"/>
        <v>0</v>
      </c>
      <c r="H580" s="80"/>
    </row>
    <row r="581" spans="1:8" ht="60" hidden="1">
      <c r="A581" s="18" t="s">
        <v>604</v>
      </c>
      <c r="B581" s="54" t="s">
        <v>1338</v>
      </c>
      <c r="C581" s="54" t="s">
        <v>1154</v>
      </c>
      <c r="D581" s="17" t="s">
        <v>834</v>
      </c>
      <c r="E581" s="54" t="s">
        <v>244</v>
      </c>
      <c r="F581" s="20">
        <f>900-900</f>
        <v>0</v>
      </c>
      <c r="G581" s="19">
        <f t="shared" si="23"/>
        <v>0</v>
      </c>
      <c r="H581" s="80"/>
    </row>
    <row r="582" spans="1:8" ht="60">
      <c r="A582" s="18" t="s">
        <v>605</v>
      </c>
      <c r="B582" s="54" t="s">
        <v>1338</v>
      </c>
      <c r="C582" s="54" t="s">
        <v>1154</v>
      </c>
      <c r="D582" s="17" t="s">
        <v>834</v>
      </c>
      <c r="E582" s="54" t="s">
        <v>244</v>
      </c>
      <c r="F582" s="20">
        <v>400</v>
      </c>
      <c r="G582" s="19">
        <f t="shared" si="23"/>
        <v>400</v>
      </c>
      <c r="H582" s="80"/>
    </row>
    <row r="583" spans="1:8" ht="36" hidden="1">
      <c r="A583" s="18" t="s">
        <v>520</v>
      </c>
      <c r="B583" s="54" t="s">
        <v>1338</v>
      </c>
      <c r="C583" s="54" t="s">
        <v>1154</v>
      </c>
      <c r="D583" s="17" t="s">
        <v>834</v>
      </c>
      <c r="E583" s="54" t="s">
        <v>244</v>
      </c>
      <c r="F583" s="20"/>
      <c r="G583" s="19">
        <f t="shared" si="23"/>
        <v>0</v>
      </c>
      <c r="H583" s="80"/>
    </row>
    <row r="584" spans="1:8" ht="24">
      <c r="A584" s="18" t="s">
        <v>904</v>
      </c>
      <c r="B584" s="54" t="s">
        <v>1338</v>
      </c>
      <c r="C584" s="54" t="s">
        <v>1154</v>
      </c>
      <c r="D584" s="17" t="s">
        <v>834</v>
      </c>
      <c r="E584" s="54" t="s">
        <v>244</v>
      </c>
      <c r="F584" s="20">
        <f>117.3+36.8</f>
        <v>154.1</v>
      </c>
      <c r="G584" s="19">
        <f t="shared" si="23"/>
        <v>154.1</v>
      </c>
      <c r="H584" s="80"/>
    </row>
    <row r="585" spans="1:8" ht="24">
      <c r="A585" s="18" t="s">
        <v>1398</v>
      </c>
      <c r="B585" s="54" t="s">
        <v>1338</v>
      </c>
      <c r="C585" s="54" t="s">
        <v>1154</v>
      </c>
      <c r="D585" s="17" t="s">
        <v>834</v>
      </c>
      <c r="E585" s="54" t="s">
        <v>244</v>
      </c>
      <c r="F585" s="20">
        <f>69.8+26</f>
        <v>95.8</v>
      </c>
      <c r="G585" s="19">
        <f t="shared" si="23"/>
        <v>95.8</v>
      </c>
      <c r="H585" s="80"/>
    </row>
    <row r="586" spans="1:8" ht="84">
      <c r="A586" s="18" t="s">
        <v>90</v>
      </c>
      <c r="B586" s="54" t="s">
        <v>1338</v>
      </c>
      <c r="C586" s="54" t="s">
        <v>1154</v>
      </c>
      <c r="D586" s="17" t="s">
        <v>834</v>
      </c>
      <c r="E586" s="54" t="s">
        <v>244</v>
      </c>
      <c r="F586" s="20">
        <v>496.8</v>
      </c>
      <c r="G586" s="19">
        <f t="shared" si="23"/>
        <v>496.8</v>
      </c>
      <c r="H586" s="80"/>
    </row>
    <row r="587" spans="1:8" ht="24">
      <c r="A587" s="18" t="s">
        <v>840</v>
      </c>
      <c r="B587" s="54" t="s">
        <v>1338</v>
      </c>
      <c r="C587" s="54" t="s">
        <v>1154</v>
      </c>
      <c r="D587" s="17" t="s">
        <v>834</v>
      </c>
      <c r="E587" s="54" t="s">
        <v>244</v>
      </c>
      <c r="F587" s="20">
        <v>300</v>
      </c>
      <c r="G587" s="19">
        <f t="shared" si="23"/>
        <v>300</v>
      </c>
      <c r="H587" s="80"/>
    </row>
    <row r="588" spans="1:8" ht="72">
      <c r="A588" s="36" t="s">
        <v>1085</v>
      </c>
      <c r="B588" s="54" t="s">
        <v>1338</v>
      </c>
      <c r="C588" s="54" t="s">
        <v>1154</v>
      </c>
      <c r="D588" s="17" t="s">
        <v>834</v>
      </c>
      <c r="E588" s="54" t="s">
        <v>244</v>
      </c>
      <c r="F588" s="20">
        <v>1037</v>
      </c>
      <c r="G588" s="19">
        <f t="shared" si="23"/>
        <v>1037</v>
      </c>
      <c r="H588" s="80"/>
    </row>
    <row r="589" spans="1:8" ht="60" hidden="1">
      <c r="A589" s="36" t="s">
        <v>1086</v>
      </c>
      <c r="B589" s="54" t="s">
        <v>1338</v>
      </c>
      <c r="C589" s="54" t="s">
        <v>1154</v>
      </c>
      <c r="D589" s="17" t="s">
        <v>834</v>
      </c>
      <c r="E589" s="54" t="s">
        <v>244</v>
      </c>
      <c r="F589" s="20">
        <f>170.6-170.6</f>
        <v>0</v>
      </c>
      <c r="G589" s="19">
        <f t="shared" si="23"/>
        <v>0</v>
      </c>
      <c r="H589" s="80"/>
    </row>
    <row r="590" spans="1:8" ht="36">
      <c r="A590" s="36" t="s">
        <v>935</v>
      </c>
      <c r="B590" s="54" t="s">
        <v>1338</v>
      </c>
      <c r="C590" s="54" t="s">
        <v>1154</v>
      </c>
      <c r="D590" s="17" t="s">
        <v>834</v>
      </c>
      <c r="E590" s="54" t="s">
        <v>244</v>
      </c>
      <c r="F590" s="20">
        <v>110.6</v>
      </c>
      <c r="G590" s="19">
        <f>F590</f>
        <v>110.6</v>
      </c>
      <c r="H590" s="80"/>
    </row>
    <row r="591" spans="1:8" ht="24">
      <c r="A591" s="36" t="s">
        <v>236</v>
      </c>
      <c r="B591" s="54" t="s">
        <v>1338</v>
      </c>
      <c r="C591" s="54" t="s">
        <v>1154</v>
      </c>
      <c r="D591" s="17" t="s">
        <v>834</v>
      </c>
      <c r="E591" s="54" t="s">
        <v>244</v>
      </c>
      <c r="F591" s="20">
        <v>2080</v>
      </c>
      <c r="G591" s="19">
        <f>F591</f>
        <v>2080</v>
      </c>
      <c r="H591" s="80"/>
    </row>
    <row r="592" spans="1:8" ht="60">
      <c r="A592" s="36" t="s">
        <v>885</v>
      </c>
      <c r="B592" s="54" t="s">
        <v>1338</v>
      </c>
      <c r="C592" s="54" t="s">
        <v>1154</v>
      </c>
      <c r="D592" s="54" t="s">
        <v>598</v>
      </c>
      <c r="E592" s="54"/>
      <c r="F592" s="19">
        <f>F607+F602+F599+F593+F596</f>
        <v>29377.4</v>
      </c>
      <c r="G592" s="19">
        <f t="shared" si="23"/>
        <v>29377.4</v>
      </c>
      <c r="H592" s="80"/>
    </row>
    <row r="593" spans="1:8" ht="36">
      <c r="A593" s="36" t="s">
        <v>459</v>
      </c>
      <c r="B593" s="54" t="s">
        <v>540</v>
      </c>
      <c r="C593" s="54" t="s">
        <v>1154</v>
      </c>
      <c r="D593" s="54" t="s">
        <v>122</v>
      </c>
      <c r="E593" s="54" t="s">
        <v>641</v>
      </c>
      <c r="F593" s="19">
        <f>F594</f>
        <v>6028.4</v>
      </c>
      <c r="G593" s="19">
        <f t="shared" si="23"/>
        <v>6028.4</v>
      </c>
      <c r="H593" s="80"/>
    </row>
    <row r="594" spans="1:8" ht="24">
      <c r="A594" s="18" t="s">
        <v>883</v>
      </c>
      <c r="B594" s="54" t="s">
        <v>540</v>
      </c>
      <c r="C594" s="54" t="s">
        <v>1154</v>
      </c>
      <c r="D594" s="54" t="s">
        <v>122</v>
      </c>
      <c r="E594" s="54" t="s">
        <v>244</v>
      </c>
      <c r="F594" s="19">
        <f>F595</f>
        <v>6028.4</v>
      </c>
      <c r="G594" s="19">
        <f t="shared" si="23"/>
        <v>6028.4</v>
      </c>
      <c r="H594" s="80"/>
    </row>
    <row r="595" spans="1:8" ht="84">
      <c r="A595" s="18" t="s">
        <v>539</v>
      </c>
      <c r="B595" s="54" t="s">
        <v>1338</v>
      </c>
      <c r="C595" s="54" t="s">
        <v>1154</v>
      </c>
      <c r="D595" s="54" t="s">
        <v>122</v>
      </c>
      <c r="E595" s="54" t="s">
        <v>244</v>
      </c>
      <c r="F595" s="20">
        <v>6028.4</v>
      </c>
      <c r="G595" s="19">
        <f t="shared" si="23"/>
        <v>6028.4</v>
      </c>
      <c r="H595" s="80"/>
    </row>
    <row r="596" spans="1:8" ht="36">
      <c r="A596" s="36" t="s">
        <v>459</v>
      </c>
      <c r="B596" s="54" t="s">
        <v>1338</v>
      </c>
      <c r="C596" s="54" t="s">
        <v>1154</v>
      </c>
      <c r="D596" s="54" t="s">
        <v>936</v>
      </c>
      <c r="E596" s="54" t="s">
        <v>641</v>
      </c>
      <c r="F596" s="313">
        <f>F597</f>
        <v>2454.4</v>
      </c>
      <c r="G596" s="19">
        <f>F596</f>
        <v>2454.4</v>
      </c>
      <c r="H596" s="80"/>
    </row>
    <row r="597" spans="1:8" ht="24">
      <c r="A597" s="18" t="s">
        <v>883</v>
      </c>
      <c r="B597" s="54" t="s">
        <v>1338</v>
      </c>
      <c r="C597" s="54" t="s">
        <v>1154</v>
      </c>
      <c r="D597" s="54" t="s">
        <v>936</v>
      </c>
      <c r="E597" s="54" t="s">
        <v>244</v>
      </c>
      <c r="F597" s="313">
        <f>F598</f>
        <v>2454.4</v>
      </c>
      <c r="G597" s="19">
        <f>F597</f>
        <v>2454.4</v>
      </c>
      <c r="H597" s="80"/>
    </row>
    <row r="598" spans="1:8" ht="48">
      <c r="A598" s="18" t="s">
        <v>937</v>
      </c>
      <c r="B598" s="54" t="s">
        <v>1338</v>
      </c>
      <c r="C598" s="54" t="s">
        <v>1154</v>
      </c>
      <c r="D598" s="54" t="s">
        <v>936</v>
      </c>
      <c r="E598" s="54" t="s">
        <v>244</v>
      </c>
      <c r="F598" s="20">
        <v>2454.4</v>
      </c>
      <c r="G598" s="19">
        <f>F598</f>
        <v>2454.4</v>
      </c>
      <c r="H598" s="80"/>
    </row>
    <row r="599" spans="1:8" ht="36">
      <c r="A599" s="36" t="s">
        <v>459</v>
      </c>
      <c r="B599" s="54" t="s">
        <v>1338</v>
      </c>
      <c r="C599" s="54" t="s">
        <v>1154</v>
      </c>
      <c r="D599" s="54" t="s">
        <v>538</v>
      </c>
      <c r="E599" s="54" t="s">
        <v>641</v>
      </c>
      <c r="F599" s="19">
        <f>F600</f>
        <v>7166.8</v>
      </c>
      <c r="G599" s="19">
        <f t="shared" si="23"/>
        <v>7166.8</v>
      </c>
      <c r="H599" s="80"/>
    </row>
    <row r="600" spans="1:8" ht="24">
      <c r="A600" s="18" t="s">
        <v>883</v>
      </c>
      <c r="B600" s="54" t="s">
        <v>1338</v>
      </c>
      <c r="C600" s="54" t="s">
        <v>1154</v>
      </c>
      <c r="D600" s="54" t="s">
        <v>538</v>
      </c>
      <c r="E600" s="54" t="s">
        <v>244</v>
      </c>
      <c r="F600" s="19">
        <f>F601</f>
        <v>7166.8</v>
      </c>
      <c r="G600" s="19">
        <f t="shared" si="23"/>
        <v>7166.8</v>
      </c>
      <c r="H600" s="80"/>
    </row>
    <row r="601" spans="1:8" ht="84">
      <c r="A601" s="18" t="s">
        <v>539</v>
      </c>
      <c r="B601" s="54" t="s">
        <v>1338</v>
      </c>
      <c r="C601" s="54" t="s">
        <v>1154</v>
      </c>
      <c r="D601" s="54" t="s">
        <v>538</v>
      </c>
      <c r="E601" s="54" t="s">
        <v>244</v>
      </c>
      <c r="F601" s="20">
        <v>7166.8</v>
      </c>
      <c r="G601" s="19">
        <f t="shared" si="23"/>
        <v>7166.8</v>
      </c>
      <c r="H601" s="80"/>
    </row>
    <row r="602" spans="1:8" ht="36">
      <c r="A602" s="36" t="s">
        <v>459</v>
      </c>
      <c r="B602" s="54" t="s">
        <v>1338</v>
      </c>
      <c r="C602" s="54" t="s">
        <v>1154</v>
      </c>
      <c r="D602" s="54" t="s">
        <v>782</v>
      </c>
      <c r="E602" s="54" t="s">
        <v>641</v>
      </c>
      <c r="F602" s="19">
        <f>F603</f>
        <v>2081.8</v>
      </c>
      <c r="G602" s="19">
        <f t="shared" si="23"/>
        <v>2081.8</v>
      </c>
      <c r="H602" s="80"/>
    </row>
    <row r="603" spans="1:8" ht="24">
      <c r="A603" s="18" t="s">
        <v>883</v>
      </c>
      <c r="B603" s="54" t="s">
        <v>1338</v>
      </c>
      <c r="C603" s="54" t="s">
        <v>1154</v>
      </c>
      <c r="D603" s="54" t="s">
        <v>782</v>
      </c>
      <c r="E603" s="54" t="s">
        <v>244</v>
      </c>
      <c r="F603" s="19">
        <f>F604+F605+F606</f>
        <v>2081.8</v>
      </c>
      <c r="G603" s="19">
        <f t="shared" si="23"/>
        <v>2081.8</v>
      </c>
      <c r="H603" s="80"/>
    </row>
    <row r="604" spans="1:8" ht="48">
      <c r="A604" s="18" t="s">
        <v>1503</v>
      </c>
      <c r="B604" s="54" t="s">
        <v>1338</v>
      </c>
      <c r="C604" s="54" t="s">
        <v>1154</v>
      </c>
      <c r="D604" s="54" t="s">
        <v>782</v>
      </c>
      <c r="E604" s="54" t="s">
        <v>244</v>
      </c>
      <c r="F604" s="20">
        <v>201.2</v>
      </c>
      <c r="G604" s="19">
        <f t="shared" si="23"/>
        <v>201.2</v>
      </c>
      <c r="H604" s="80"/>
    </row>
    <row r="605" spans="1:8" ht="48">
      <c r="A605" s="18" t="s">
        <v>429</v>
      </c>
      <c r="B605" s="54" t="s">
        <v>1338</v>
      </c>
      <c r="C605" s="54" t="s">
        <v>1154</v>
      </c>
      <c r="D605" s="54" t="s">
        <v>782</v>
      </c>
      <c r="E605" s="54" t="s">
        <v>244</v>
      </c>
      <c r="F605" s="20">
        <v>1710</v>
      </c>
      <c r="G605" s="19">
        <f t="shared" si="23"/>
        <v>1710</v>
      </c>
      <c r="H605" s="80"/>
    </row>
    <row r="606" spans="1:8" ht="72">
      <c r="A606" s="36" t="s">
        <v>1086</v>
      </c>
      <c r="B606" s="54" t="s">
        <v>1338</v>
      </c>
      <c r="C606" s="54" t="s">
        <v>1154</v>
      </c>
      <c r="D606" s="54" t="s">
        <v>782</v>
      </c>
      <c r="E606" s="54" t="s">
        <v>244</v>
      </c>
      <c r="F606" s="20">
        <v>170.6</v>
      </c>
      <c r="G606" s="19">
        <f t="shared" si="23"/>
        <v>170.6</v>
      </c>
      <c r="H606" s="80"/>
    </row>
    <row r="607" spans="1:8" ht="36">
      <c r="A607" s="36" t="s">
        <v>459</v>
      </c>
      <c r="B607" s="54" t="s">
        <v>1338</v>
      </c>
      <c r="C607" s="54" t="s">
        <v>1154</v>
      </c>
      <c r="D607" s="54" t="s">
        <v>835</v>
      </c>
      <c r="E607" s="54" t="s">
        <v>641</v>
      </c>
      <c r="F607" s="19">
        <f>F608</f>
        <v>11646</v>
      </c>
      <c r="G607" s="19">
        <f t="shared" si="23"/>
        <v>11646</v>
      </c>
      <c r="H607" s="80"/>
    </row>
    <row r="608" spans="1:8" ht="24">
      <c r="A608" s="18" t="s">
        <v>418</v>
      </c>
      <c r="B608" s="54" t="s">
        <v>1338</v>
      </c>
      <c r="C608" s="54" t="s">
        <v>1154</v>
      </c>
      <c r="D608" s="54" t="s">
        <v>835</v>
      </c>
      <c r="E608" s="54" t="s">
        <v>419</v>
      </c>
      <c r="F608" s="20">
        <f>12049-403</f>
        <v>11646</v>
      </c>
      <c r="G608" s="19">
        <f t="shared" si="23"/>
        <v>11646</v>
      </c>
      <c r="H608" s="80"/>
    </row>
    <row r="609" spans="1:8" ht="24" hidden="1">
      <c r="A609" s="18" t="s">
        <v>417</v>
      </c>
      <c r="B609" s="54" t="s">
        <v>1338</v>
      </c>
      <c r="C609" s="54" t="s">
        <v>1154</v>
      </c>
      <c r="D609" s="54" t="s">
        <v>835</v>
      </c>
      <c r="E609" s="54" t="s">
        <v>420</v>
      </c>
      <c r="F609" s="20">
        <v>12049</v>
      </c>
      <c r="G609" s="19">
        <f t="shared" si="23"/>
        <v>12049</v>
      </c>
      <c r="H609" s="80"/>
    </row>
    <row r="610" spans="1:8" ht="84">
      <c r="A610" s="18" t="s">
        <v>116</v>
      </c>
      <c r="B610" s="54" t="s">
        <v>1338</v>
      </c>
      <c r="C610" s="54" t="s">
        <v>1154</v>
      </c>
      <c r="D610" s="54" t="s">
        <v>599</v>
      </c>
      <c r="E610" s="54"/>
      <c r="F610" s="19">
        <f>F611+F618+F628+F615</f>
        <v>101820</v>
      </c>
      <c r="G610" s="19">
        <f t="shared" si="23"/>
        <v>101820</v>
      </c>
      <c r="H610" s="80"/>
    </row>
    <row r="611" spans="1:8" ht="96.75" customHeight="1">
      <c r="A611" s="18" t="s">
        <v>1274</v>
      </c>
      <c r="B611" s="54" t="s">
        <v>1338</v>
      </c>
      <c r="C611" s="54" t="s">
        <v>1154</v>
      </c>
      <c r="D611" s="54" t="s">
        <v>1243</v>
      </c>
      <c r="E611" s="54"/>
      <c r="F611" s="19">
        <f>F612</f>
        <v>9430</v>
      </c>
      <c r="G611" s="19">
        <f t="shared" si="23"/>
        <v>9430</v>
      </c>
      <c r="H611" s="80"/>
    </row>
    <row r="612" spans="1:8" ht="36">
      <c r="A612" s="36" t="s">
        <v>459</v>
      </c>
      <c r="B612" s="54" t="s">
        <v>1338</v>
      </c>
      <c r="C612" s="54" t="s">
        <v>1154</v>
      </c>
      <c r="D612" s="54" t="s">
        <v>1243</v>
      </c>
      <c r="E612" s="54" t="s">
        <v>641</v>
      </c>
      <c r="F612" s="19">
        <f>F613+F614</f>
        <v>9430</v>
      </c>
      <c r="G612" s="19">
        <f t="shared" si="23"/>
        <v>9430</v>
      </c>
      <c r="H612" s="80"/>
    </row>
    <row r="613" spans="1:8" ht="24">
      <c r="A613" s="18" t="s">
        <v>418</v>
      </c>
      <c r="B613" s="54" t="s">
        <v>1338</v>
      </c>
      <c r="C613" s="54" t="s">
        <v>1154</v>
      </c>
      <c r="D613" s="54" t="s">
        <v>1243</v>
      </c>
      <c r="E613" s="54" t="s">
        <v>419</v>
      </c>
      <c r="F613" s="20">
        <f>7728-419.8</f>
        <v>7308.2</v>
      </c>
      <c r="G613" s="19">
        <f t="shared" si="23"/>
        <v>7308.2</v>
      </c>
      <c r="H613" s="80"/>
    </row>
    <row r="614" spans="1:8" ht="24">
      <c r="A614" s="18" t="s">
        <v>418</v>
      </c>
      <c r="B614" s="54" t="s">
        <v>1338</v>
      </c>
      <c r="C614" s="54" t="s">
        <v>1154</v>
      </c>
      <c r="D614" s="54" t="s">
        <v>1243</v>
      </c>
      <c r="E614" s="54" t="s">
        <v>244</v>
      </c>
      <c r="F614" s="20">
        <f>1702+419.8</f>
        <v>2121.8</v>
      </c>
      <c r="G614" s="19">
        <f t="shared" si="23"/>
        <v>2121.8</v>
      </c>
      <c r="H614" s="80"/>
    </row>
    <row r="615" spans="1:8" ht="36">
      <c r="A615" s="36" t="s">
        <v>459</v>
      </c>
      <c r="B615" s="54" t="s">
        <v>1338</v>
      </c>
      <c r="C615" s="54" t="s">
        <v>1154</v>
      </c>
      <c r="D615" s="54" t="s">
        <v>92</v>
      </c>
      <c r="E615" s="54" t="s">
        <v>641</v>
      </c>
      <c r="F615" s="20">
        <f>F616+F617</f>
        <v>650</v>
      </c>
      <c r="G615" s="19">
        <f t="shared" si="23"/>
        <v>650</v>
      </c>
      <c r="H615" s="80"/>
    </row>
    <row r="616" spans="1:8" ht="84">
      <c r="A616" s="18" t="s">
        <v>107</v>
      </c>
      <c r="B616" s="54" t="s">
        <v>1338</v>
      </c>
      <c r="C616" s="54" t="s">
        <v>1154</v>
      </c>
      <c r="D616" s="54" t="s">
        <v>92</v>
      </c>
      <c r="E616" s="54" t="s">
        <v>244</v>
      </c>
      <c r="F616" s="20">
        <v>250</v>
      </c>
      <c r="G616" s="19">
        <f t="shared" si="23"/>
        <v>250</v>
      </c>
      <c r="H616" s="80"/>
    </row>
    <row r="617" spans="1:8" ht="48">
      <c r="A617" s="18" t="s">
        <v>106</v>
      </c>
      <c r="B617" s="54" t="s">
        <v>1338</v>
      </c>
      <c r="C617" s="54" t="s">
        <v>1154</v>
      </c>
      <c r="D617" s="54" t="s">
        <v>92</v>
      </c>
      <c r="E617" s="54" t="s">
        <v>244</v>
      </c>
      <c r="F617" s="20">
        <v>400</v>
      </c>
      <c r="G617" s="19">
        <f t="shared" si="23"/>
        <v>400</v>
      </c>
      <c r="H617" s="80"/>
    </row>
    <row r="618" spans="1:8" ht="36">
      <c r="A618" s="36" t="s">
        <v>459</v>
      </c>
      <c r="B618" s="54" t="s">
        <v>1338</v>
      </c>
      <c r="C618" s="54" t="s">
        <v>1154</v>
      </c>
      <c r="D618" s="54" t="s">
        <v>836</v>
      </c>
      <c r="E618" s="54" t="s">
        <v>641</v>
      </c>
      <c r="F618" s="19">
        <f>F619+F626</f>
        <v>67842</v>
      </c>
      <c r="G618" s="19">
        <f t="shared" si="23"/>
        <v>67842</v>
      </c>
      <c r="H618" s="80"/>
    </row>
    <row r="619" spans="1:8" ht="24">
      <c r="A619" s="18" t="s">
        <v>390</v>
      </c>
      <c r="B619" s="54" t="s">
        <v>1338</v>
      </c>
      <c r="C619" s="54" t="s">
        <v>1154</v>
      </c>
      <c r="D619" s="54" t="s">
        <v>836</v>
      </c>
      <c r="E619" s="54" t="s">
        <v>419</v>
      </c>
      <c r="F619" s="20">
        <f>63790+456-7728-3129.8+24+300+904</f>
        <v>54616.2</v>
      </c>
      <c r="G619" s="19">
        <f t="shared" si="23"/>
        <v>54616.2</v>
      </c>
      <c r="H619" s="80"/>
    </row>
    <row r="620" spans="1:8" ht="24" hidden="1">
      <c r="A620" s="18" t="s">
        <v>417</v>
      </c>
      <c r="B620" s="54" t="s">
        <v>1338</v>
      </c>
      <c r="C620" s="54" t="s">
        <v>1154</v>
      </c>
      <c r="D620" s="54" t="s">
        <v>836</v>
      </c>
      <c r="E620" s="54" t="s">
        <v>420</v>
      </c>
      <c r="F620" s="20">
        <v>63790</v>
      </c>
      <c r="G620" s="19">
        <f t="shared" si="23"/>
        <v>63790</v>
      </c>
      <c r="H620" s="80"/>
    </row>
    <row r="621" spans="1:8" ht="24" hidden="1">
      <c r="A621" s="18" t="s">
        <v>32</v>
      </c>
      <c r="B621" s="54" t="s">
        <v>1338</v>
      </c>
      <c r="C621" s="54" t="s">
        <v>1154</v>
      </c>
      <c r="D621" s="54" t="s">
        <v>836</v>
      </c>
      <c r="E621" s="54" t="s">
        <v>88</v>
      </c>
      <c r="F621" s="20">
        <f>F622+F623</f>
        <v>0</v>
      </c>
      <c r="G621" s="19">
        <f t="shared" si="23"/>
        <v>0</v>
      </c>
      <c r="H621" s="80"/>
    </row>
    <row r="622" spans="1:8" ht="36" hidden="1">
      <c r="A622" s="18" t="s">
        <v>220</v>
      </c>
      <c r="B622" s="54" t="s">
        <v>1338</v>
      </c>
      <c r="C622" s="54" t="s">
        <v>1154</v>
      </c>
      <c r="D622" s="54" t="s">
        <v>836</v>
      </c>
      <c r="E622" s="54" t="s">
        <v>88</v>
      </c>
      <c r="F622" s="20"/>
      <c r="G622" s="19">
        <f t="shared" si="23"/>
        <v>0</v>
      </c>
      <c r="H622" s="80"/>
    </row>
    <row r="623" spans="1:8" ht="24" hidden="1">
      <c r="A623" s="18" t="s">
        <v>236</v>
      </c>
      <c r="B623" s="54" t="s">
        <v>1338</v>
      </c>
      <c r="C623" s="54" t="s">
        <v>1154</v>
      </c>
      <c r="D623" s="54" t="s">
        <v>836</v>
      </c>
      <c r="E623" s="54" t="s">
        <v>88</v>
      </c>
      <c r="F623" s="20"/>
      <c r="G623" s="19">
        <f t="shared" si="23"/>
        <v>0</v>
      </c>
      <c r="H623" s="80"/>
    </row>
    <row r="624" spans="1:8" ht="24">
      <c r="A624" s="18" t="s">
        <v>1398</v>
      </c>
      <c r="B624" s="54" t="s">
        <v>1338</v>
      </c>
      <c r="C624" s="54" t="s">
        <v>1154</v>
      </c>
      <c r="D624" s="54" t="s">
        <v>836</v>
      </c>
      <c r="E624" s="54" t="s">
        <v>419</v>
      </c>
      <c r="F624" s="20">
        <v>24</v>
      </c>
      <c r="G624" s="19">
        <f t="shared" si="23"/>
        <v>24</v>
      </c>
      <c r="H624" s="80"/>
    </row>
    <row r="625" spans="1:8" ht="24">
      <c r="A625" s="18" t="s">
        <v>840</v>
      </c>
      <c r="B625" s="54" t="s">
        <v>1338</v>
      </c>
      <c r="C625" s="54" t="s">
        <v>1154</v>
      </c>
      <c r="D625" s="54" t="s">
        <v>836</v>
      </c>
      <c r="E625" s="54" t="s">
        <v>419</v>
      </c>
      <c r="F625" s="20">
        <v>300</v>
      </c>
      <c r="G625" s="19">
        <f t="shared" si="23"/>
        <v>300</v>
      </c>
      <c r="H625" s="80"/>
    </row>
    <row r="626" spans="1:8" ht="24">
      <c r="A626" s="18" t="s">
        <v>515</v>
      </c>
      <c r="B626" s="54" t="s">
        <v>1338</v>
      </c>
      <c r="C626" s="54" t="s">
        <v>1154</v>
      </c>
      <c r="D626" s="54" t="s">
        <v>836</v>
      </c>
      <c r="E626" s="54" t="s">
        <v>244</v>
      </c>
      <c r="F626" s="20">
        <f>12254-456-1702+3129.8</f>
        <v>13225.8</v>
      </c>
      <c r="G626" s="19">
        <f t="shared" si="23"/>
        <v>13225.8</v>
      </c>
      <c r="H626" s="80"/>
    </row>
    <row r="627" spans="1:8" ht="24" hidden="1">
      <c r="A627" s="18" t="s">
        <v>1457</v>
      </c>
      <c r="B627" s="54" t="s">
        <v>1338</v>
      </c>
      <c r="C627" s="54" t="s">
        <v>1154</v>
      </c>
      <c r="D627" s="54" t="s">
        <v>836</v>
      </c>
      <c r="E627" s="54" t="s">
        <v>245</v>
      </c>
      <c r="F627" s="20">
        <v>12254</v>
      </c>
      <c r="G627" s="19">
        <f t="shared" si="23"/>
        <v>12254</v>
      </c>
      <c r="H627" s="80"/>
    </row>
    <row r="628" spans="1:8" ht="36">
      <c r="A628" s="36" t="s">
        <v>459</v>
      </c>
      <c r="B628" s="54" t="s">
        <v>1338</v>
      </c>
      <c r="C628" s="54" t="s">
        <v>1154</v>
      </c>
      <c r="D628" s="54" t="s">
        <v>837</v>
      </c>
      <c r="E628" s="54" t="s">
        <v>641</v>
      </c>
      <c r="F628" s="19">
        <f>F629</f>
        <v>23898</v>
      </c>
      <c r="G628" s="19">
        <f t="shared" si="23"/>
        <v>23898</v>
      </c>
      <c r="H628" s="80"/>
    </row>
    <row r="629" spans="1:8" ht="24">
      <c r="A629" s="18" t="s">
        <v>418</v>
      </c>
      <c r="B629" s="54" t="s">
        <v>1338</v>
      </c>
      <c r="C629" s="54" t="s">
        <v>1154</v>
      </c>
      <c r="D629" s="54" t="s">
        <v>837</v>
      </c>
      <c r="E629" s="54" t="s">
        <v>419</v>
      </c>
      <c r="F629" s="20">
        <f>25648-1500-250</f>
        <v>23898</v>
      </c>
      <c r="G629" s="19">
        <f t="shared" si="23"/>
        <v>23898</v>
      </c>
      <c r="H629" s="80"/>
    </row>
    <row r="630" spans="1:8" ht="24" hidden="1">
      <c r="A630" s="18" t="s">
        <v>417</v>
      </c>
      <c r="B630" s="54" t="s">
        <v>1338</v>
      </c>
      <c r="C630" s="54" t="s">
        <v>1154</v>
      </c>
      <c r="D630" s="54" t="s">
        <v>837</v>
      </c>
      <c r="E630" s="54" t="s">
        <v>420</v>
      </c>
      <c r="F630" s="20"/>
      <c r="G630" s="19">
        <f t="shared" si="23"/>
        <v>0</v>
      </c>
      <c r="H630" s="80"/>
    </row>
    <row r="631" spans="1:8" ht="48">
      <c r="A631" s="18" t="s">
        <v>822</v>
      </c>
      <c r="B631" s="54" t="s">
        <v>1338</v>
      </c>
      <c r="C631" s="54" t="s">
        <v>1154</v>
      </c>
      <c r="D631" s="54" t="s">
        <v>606</v>
      </c>
      <c r="E631" s="54"/>
      <c r="F631" s="19">
        <f>F632+F636+F641+F650</f>
        <v>35744.5</v>
      </c>
      <c r="G631" s="19">
        <f t="shared" si="23"/>
        <v>35744.5</v>
      </c>
      <c r="H631" s="80"/>
    </row>
    <row r="632" spans="1:8" ht="36">
      <c r="A632" s="36" t="s">
        <v>459</v>
      </c>
      <c r="B632" s="54" t="s">
        <v>1338</v>
      </c>
      <c r="C632" s="54" t="s">
        <v>1154</v>
      </c>
      <c r="D632" s="54" t="s">
        <v>607</v>
      </c>
      <c r="E632" s="54" t="s">
        <v>641</v>
      </c>
      <c r="F632" s="19">
        <f>F634</f>
        <v>8043</v>
      </c>
      <c r="G632" s="19">
        <f t="shared" si="23"/>
        <v>8043</v>
      </c>
      <c r="H632" s="80"/>
    </row>
    <row r="633" spans="1:8" ht="15" hidden="1">
      <c r="A633" s="18" t="s">
        <v>418</v>
      </c>
      <c r="B633" s="54" t="s">
        <v>1338</v>
      </c>
      <c r="C633" s="54" t="s">
        <v>1154</v>
      </c>
      <c r="D633" s="54" t="s">
        <v>607</v>
      </c>
      <c r="E633" s="54" t="s">
        <v>419</v>
      </c>
      <c r="F633" s="20"/>
      <c r="G633" s="19">
        <f t="shared" si="23"/>
        <v>0</v>
      </c>
      <c r="H633" s="80"/>
    </row>
    <row r="634" spans="1:8" ht="24">
      <c r="A634" s="18" t="s">
        <v>747</v>
      </c>
      <c r="B634" s="54" t="s">
        <v>1338</v>
      </c>
      <c r="C634" s="54" t="s">
        <v>1154</v>
      </c>
      <c r="D634" s="54" t="s">
        <v>607</v>
      </c>
      <c r="E634" s="54" t="s">
        <v>244</v>
      </c>
      <c r="F634" s="19">
        <f>F635</f>
        <v>8043</v>
      </c>
      <c r="G634" s="19">
        <f t="shared" si="23"/>
        <v>8043</v>
      </c>
      <c r="H634" s="80"/>
    </row>
    <row r="635" spans="1:8" ht="84">
      <c r="A635" s="18" t="s">
        <v>1452</v>
      </c>
      <c r="B635" s="54" t="s">
        <v>1338</v>
      </c>
      <c r="C635" s="54" t="s">
        <v>1154</v>
      </c>
      <c r="D635" s="54" t="s">
        <v>607</v>
      </c>
      <c r="E635" s="54" t="s">
        <v>244</v>
      </c>
      <c r="F635" s="20">
        <v>8043</v>
      </c>
      <c r="G635" s="19">
        <f t="shared" si="23"/>
        <v>8043</v>
      </c>
      <c r="H635" s="80"/>
    </row>
    <row r="636" spans="1:8" ht="36">
      <c r="A636" s="36" t="s">
        <v>270</v>
      </c>
      <c r="B636" s="54" t="s">
        <v>1338</v>
      </c>
      <c r="C636" s="54" t="s">
        <v>1154</v>
      </c>
      <c r="D636" s="54" t="s">
        <v>608</v>
      </c>
      <c r="E636" s="54" t="s">
        <v>312</v>
      </c>
      <c r="F636" s="19">
        <f>F637</f>
        <v>4956</v>
      </c>
      <c r="G636" s="19">
        <f t="shared" si="23"/>
        <v>4956</v>
      </c>
      <c r="H636" s="80"/>
    </row>
    <row r="637" spans="1:8" ht="60">
      <c r="A637" s="36" t="s">
        <v>1005</v>
      </c>
      <c r="B637" s="54" t="s">
        <v>1338</v>
      </c>
      <c r="C637" s="54" t="s">
        <v>1154</v>
      </c>
      <c r="D637" s="54" t="s">
        <v>608</v>
      </c>
      <c r="E637" s="54" t="s">
        <v>1174</v>
      </c>
      <c r="F637" s="19">
        <f>F638+F639+F640</f>
        <v>4956</v>
      </c>
      <c r="G637" s="19">
        <f t="shared" si="23"/>
        <v>4956</v>
      </c>
      <c r="H637" s="80"/>
    </row>
    <row r="638" spans="1:8" ht="84">
      <c r="A638" s="18" t="s">
        <v>1130</v>
      </c>
      <c r="B638" s="54" t="s">
        <v>1338</v>
      </c>
      <c r="C638" s="54" t="s">
        <v>1154</v>
      </c>
      <c r="D638" s="54" t="s">
        <v>608</v>
      </c>
      <c r="E638" s="54" t="s">
        <v>1174</v>
      </c>
      <c r="F638" s="20">
        <v>950</v>
      </c>
      <c r="G638" s="19">
        <f t="shared" si="23"/>
        <v>950</v>
      </c>
      <c r="H638" s="80"/>
    </row>
    <row r="639" spans="1:8" ht="36">
      <c r="A639" s="18" t="s">
        <v>94</v>
      </c>
      <c r="B639" s="54" t="s">
        <v>1338</v>
      </c>
      <c r="C639" s="54" t="s">
        <v>1154</v>
      </c>
      <c r="D639" s="54" t="s">
        <v>608</v>
      </c>
      <c r="E639" s="54" t="s">
        <v>1174</v>
      </c>
      <c r="F639" s="20">
        <v>3286.1</v>
      </c>
      <c r="G639" s="19">
        <f t="shared" si="23"/>
        <v>3286.1</v>
      </c>
      <c r="H639" s="80"/>
    </row>
    <row r="640" spans="1:8" ht="36">
      <c r="A640" s="18" t="s">
        <v>856</v>
      </c>
      <c r="B640" s="54" t="s">
        <v>1338</v>
      </c>
      <c r="C640" s="54" t="s">
        <v>1154</v>
      </c>
      <c r="D640" s="54" t="s">
        <v>608</v>
      </c>
      <c r="E640" s="54" t="s">
        <v>1174</v>
      </c>
      <c r="F640" s="20">
        <v>719.9</v>
      </c>
      <c r="G640" s="19">
        <f t="shared" si="23"/>
        <v>719.9</v>
      </c>
      <c r="H640" s="80"/>
    </row>
    <row r="641" spans="1:8" ht="36">
      <c r="A641" s="36" t="s">
        <v>459</v>
      </c>
      <c r="B641" s="54" t="s">
        <v>1338</v>
      </c>
      <c r="C641" s="54" t="s">
        <v>1154</v>
      </c>
      <c r="D641" s="54" t="s">
        <v>608</v>
      </c>
      <c r="E641" s="54" t="s">
        <v>641</v>
      </c>
      <c r="F641" s="19">
        <f>F642+F644</f>
        <v>20079.5</v>
      </c>
      <c r="G641" s="19">
        <f t="shared" si="23"/>
        <v>20079.5</v>
      </c>
      <c r="H641" s="80"/>
    </row>
    <row r="642" spans="1:8" ht="24">
      <c r="A642" s="18" t="s">
        <v>521</v>
      </c>
      <c r="B642" s="54" t="s">
        <v>1338</v>
      </c>
      <c r="C642" s="54" t="s">
        <v>1154</v>
      </c>
      <c r="D642" s="54" t="s">
        <v>608</v>
      </c>
      <c r="E642" s="54" t="s">
        <v>419</v>
      </c>
      <c r="F642" s="19">
        <f>F643</f>
        <v>853.5</v>
      </c>
      <c r="G642" s="19">
        <f t="shared" si="23"/>
        <v>853.5</v>
      </c>
      <c r="H642" s="80"/>
    </row>
    <row r="643" spans="1:8" ht="24">
      <c r="A643" s="18" t="s">
        <v>519</v>
      </c>
      <c r="B643" s="54" t="s">
        <v>1338</v>
      </c>
      <c r="C643" s="54" t="s">
        <v>1154</v>
      </c>
      <c r="D643" s="54" t="s">
        <v>608</v>
      </c>
      <c r="E643" s="54" t="s">
        <v>419</v>
      </c>
      <c r="F643" s="20">
        <v>853.5</v>
      </c>
      <c r="G643" s="19">
        <f t="shared" si="23"/>
        <v>853.5</v>
      </c>
      <c r="H643" s="80"/>
    </row>
    <row r="644" spans="1:8" ht="24">
      <c r="A644" s="18" t="s">
        <v>747</v>
      </c>
      <c r="B644" s="54" t="s">
        <v>1338</v>
      </c>
      <c r="C644" s="54" t="s">
        <v>1154</v>
      </c>
      <c r="D644" s="54" t="s">
        <v>608</v>
      </c>
      <c r="E644" s="54" t="s">
        <v>244</v>
      </c>
      <c r="F644" s="19">
        <f>F645+F646+F647+F648+F649</f>
        <v>19226</v>
      </c>
      <c r="G644" s="19">
        <f t="shared" si="23"/>
        <v>19226</v>
      </c>
      <c r="H644" s="80"/>
    </row>
    <row r="645" spans="1:8" ht="48">
      <c r="A645" s="18" t="s">
        <v>772</v>
      </c>
      <c r="B645" s="54" t="s">
        <v>1338</v>
      </c>
      <c r="C645" s="54" t="s">
        <v>1154</v>
      </c>
      <c r="D645" s="54" t="s">
        <v>608</v>
      </c>
      <c r="E645" s="54" t="s">
        <v>244</v>
      </c>
      <c r="F645" s="20">
        <f>9496+500+3365</f>
        <v>13361</v>
      </c>
      <c r="G645" s="19">
        <f t="shared" si="23"/>
        <v>13361</v>
      </c>
      <c r="H645" s="80"/>
    </row>
    <row r="646" spans="1:8" ht="84">
      <c r="A646" s="18" t="s">
        <v>857</v>
      </c>
      <c r="B646" s="54" t="s">
        <v>1338</v>
      </c>
      <c r="C646" s="54" t="s">
        <v>1154</v>
      </c>
      <c r="D646" s="54" t="s">
        <v>608</v>
      </c>
      <c r="E646" s="54" t="s">
        <v>244</v>
      </c>
      <c r="F646" s="20">
        <v>403</v>
      </c>
      <c r="G646" s="19">
        <f t="shared" si="23"/>
        <v>403</v>
      </c>
      <c r="H646" s="80"/>
    </row>
    <row r="647" spans="1:8" ht="36">
      <c r="A647" s="18" t="s">
        <v>520</v>
      </c>
      <c r="B647" s="54" t="s">
        <v>1338</v>
      </c>
      <c r="C647" s="54" t="s">
        <v>1154</v>
      </c>
      <c r="D647" s="54" t="s">
        <v>608</v>
      </c>
      <c r="E647" s="54" t="s">
        <v>244</v>
      </c>
      <c r="F647" s="20">
        <v>3050</v>
      </c>
      <c r="G647" s="19">
        <f t="shared" si="23"/>
        <v>3050</v>
      </c>
      <c r="H647" s="80"/>
    </row>
    <row r="648" spans="1:8" ht="24">
      <c r="A648" s="18" t="s">
        <v>427</v>
      </c>
      <c r="B648" s="54" t="s">
        <v>1338</v>
      </c>
      <c r="C648" s="54" t="s">
        <v>1154</v>
      </c>
      <c r="D648" s="54" t="s">
        <v>608</v>
      </c>
      <c r="E648" s="54" t="s">
        <v>244</v>
      </c>
      <c r="F648" s="20">
        <v>162</v>
      </c>
      <c r="G648" s="19">
        <f t="shared" si="23"/>
        <v>162</v>
      </c>
      <c r="H648" s="80"/>
    </row>
    <row r="649" spans="1:8" ht="48">
      <c r="A649" s="18" t="s">
        <v>428</v>
      </c>
      <c r="B649" s="54" t="s">
        <v>1338</v>
      </c>
      <c r="C649" s="54" t="s">
        <v>1154</v>
      </c>
      <c r="D649" s="54" t="s">
        <v>608</v>
      </c>
      <c r="E649" s="54" t="s">
        <v>244</v>
      </c>
      <c r="F649" s="20">
        <v>2250</v>
      </c>
      <c r="G649" s="19">
        <f t="shared" si="23"/>
        <v>2250</v>
      </c>
      <c r="H649" s="80"/>
    </row>
    <row r="650" spans="1:8" ht="36">
      <c r="A650" s="36" t="s">
        <v>459</v>
      </c>
      <c r="B650" s="54" t="s">
        <v>1338</v>
      </c>
      <c r="C650" s="54" t="s">
        <v>1154</v>
      </c>
      <c r="D650" s="54" t="s">
        <v>430</v>
      </c>
      <c r="E650" s="54" t="s">
        <v>641</v>
      </c>
      <c r="F650" s="19">
        <f>F651</f>
        <v>2666</v>
      </c>
      <c r="G650" s="19">
        <f t="shared" si="23"/>
        <v>2666</v>
      </c>
      <c r="H650" s="80"/>
    </row>
    <row r="651" spans="1:8" ht="24">
      <c r="A651" s="18" t="s">
        <v>521</v>
      </c>
      <c r="B651" s="54" t="s">
        <v>1338</v>
      </c>
      <c r="C651" s="54" t="s">
        <v>1154</v>
      </c>
      <c r="D651" s="54" t="s">
        <v>430</v>
      </c>
      <c r="E651" s="54" t="s">
        <v>419</v>
      </c>
      <c r="F651" s="19">
        <f>F652+F653</f>
        <v>2666</v>
      </c>
      <c r="G651" s="19">
        <f t="shared" si="23"/>
        <v>2666</v>
      </c>
      <c r="H651" s="80"/>
    </row>
    <row r="652" spans="1:8" ht="24">
      <c r="A652" s="18" t="s">
        <v>431</v>
      </c>
      <c r="B652" s="54" t="s">
        <v>1338</v>
      </c>
      <c r="C652" s="54" t="s">
        <v>1154</v>
      </c>
      <c r="D652" s="54" t="s">
        <v>430</v>
      </c>
      <c r="E652" s="54" t="s">
        <v>419</v>
      </c>
      <c r="F652" s="20">
        <v>310</v>
      </c>
      <c r="G652" s="19">
        <f t="shared" si="23"/>
        <v>310</v>
      </c>
      <c r="H652" s="80"/>
    </row>
    <row r="653" spans="1:8" ht="24">
      <c r="A653" s="18" t="s">
        <v>91</v>
      </c>
      <c r="B653" s="54" t="s">
        <v>1338</v>
      </c>
      <c r="C653" s="54" t="s">
        <v>1154</v>
      </c>
      <c r="D653" s="54" t="s">
        <v>430</v>
      </c>
      <c r="E653" s="54" t="s">
        <v>419</v>
      </c>
      <c r="F653" s="20">
        <v>2356</v>
      </c>
      <c r="G653" s="19">
        <f t="shared" si="23"/>
        <v>2356</v>
      </c>
      <c r="H653" s="80"/>
    </row>
    <row r="654" spans="1:8" ht="70.5" customHeight="1">
      <c r="A654" s="18" t="s">
        <v>609</v>
      </c>
      <c r="B654" s="54" t="s">
        <v>1338</v>
      </c>
      <c r="C654" s="54" t="s">
        <v>1154</v>
      </c>
      <c r="D654" s="54" t="s">
        <v>1227</v>
      </c>
      <c r="E654" s="54" t="s">
        <v>1204</v>
      </c>
      <c r="F654" s="19">
        <f>F655</f>
        <v>975</v>
      </c>
      <c r="G654" s="19">
        <f t="shared" si="23"/>
        <v>975</v>
      </c>
      <c r="H654" s="80"/>
    </row>
    <row r="655" spans="1:8" ht="36">
      <c r="A655" s="36" t="s">
        <v>459</v>
      </c>
      <c r="B655" s="54" t="s">
        <v>1338</v>
      </c>
      <c r="C655" s="54" t="s">
        <v>1154</v>
      </c>
      <c r="D655" s="54" t="s">
        <v>1227</v>
      </c>
      <c r="E655" s="54" t="s">
        <v>641</v>
      </c>
      <c r="F655" s="19">
        <f>F656+F657</f>
        <v>975</v>
      </c>
      <c r="G655" s="19">
        <f t="shared" si="23"/>
        <v>975</v>
      </c>
      <c r="H655" s="80"/>
    </row>
    <row r="656" spans="1:8" ht="24">
      <c r="A656" s="18" t="s">
        <v>418</v>
      </c>
      <c r="B656" s="54" t="s">
        <v>1338</v>
      </c>
      <c r="C656" s="54" t="s">
        <v>1154</v>
      </c>
      <c r="D656" s="54" t="s">
        <v>1227</v>
      </c>
      <c r="E656" s="54" t="s">
        <v>419</v>
      </c>
      <c r="F656" s="20">
        <f>100+75</f>
        <v>175</v>
      </c>
      <c r="G656" s="19">
        <f t="shared" si="23"/>
        <v>175</v>
      </c>
      <c r="H656" s="80"/>
    </row>
    <row r="657" spans="1:8" ht="24">
      <c r="A657" s="18" t="s">
        <v>515</v>
      </c>
      <c r="B657" s="54" t="s">
        <v>1338</v>
      </c>
      <c r="C657" s="54" t="s">
        <v>1154</v>
      </c>
      <c r="D657" s="54" t="s">
        <v>1227</v>
      </c>
      <c r="E657" s="54" t="s">
        <v>244</v>
      </c>
      <c r="F657" s="20">
        <v>800</v>
      </c>
      <c r="G657" s="19">
        <f t="shared" si="23"/>
        <v>800</v>
      </c>
      <c r="H657" s="80"/>
    </row>
    <row r="658" spans="1:8" ht="35.25" customHeight="1">
      <c r="A658" s="31" t="s">
        <v>397</v>
      </c>
      <c r="B658" s="17" t="s">
        <v>1338</v>
      </c>
      <c r="C658" s="17" t="s">
        <v>1336</v>
      </c>
      <c r="D658" s="54"/>
      <c r="E658" s="54"/>
      <c r="F658" s="19">
        <f>F659</f>
        <v>300</v>
      </c>
      <c r="G658" s="19">
        <f t="shared" si="23"/>
        <v>300</v>
      </c>
      <c r="H658" s="80"/>
    </row>
    <row r="659" spans="1:8" ht="35.25" customHeight="1">
      <c r="A659" s="177" t="s">
        <v>1037</v>
      </c>
      <c r="B659" s="17" t="s">
        <v>1338</v>
      </c>
      <c r="C659" s="17" t="s">
        <v>1336</v>
      </c>
      <c r="D659" s="54" t="s">
        <v>1376</v>
      </c>
      <c r="E659" s="54"/>
      <c r="F659" s="19">
        <f>F660</f>
        <v>300</v>
      </c>
      <c r="G659" s="19">
        <f t="shared" si="23"/>
        <v>300</v>
      </c>
      <c r="H659" s="80"/>
    </row>
    <row r="660" spans="1:8" ht="38.25" customHeight="1">
      <c r="A660" s="18" t="s">
        <v>906</v>
      </c>
      <c r="B660" s="17" t="s">
        <v>1338</v>
      </c>
      <c r="C660" s="17" t="s">
        <v>1336</v>
      </c>
      <c r="D660" s="54" t="s">
        <v>1231</v>
      </c>
      <c r="E660" s="54"/>
      <c r="F660" s="19">
        <f>F661+F663</f>
        <v>300</v>
      </c>
      <c r="G660" s="19">
        <f t="shared" si="23"/>
        <v>300</v>
      </c>
      <c r="H660" s="80"/>
    </row>
    <row r="661" spans="1:8" ht="64.5" customHeight="1">
      <c r="A661" s="158" t="s">
        <v>485</v>
      </c>
      <c r="B661" s="17" t="s">
        <v>1338</v>
      </c>
      <c r="C661" s="17" t="s">
        <v>1336</v>
      </c>
      <c r="D661" s="54" t="s">
        <v>838</v>
      </c>
      <c r="E661" s="54" t="s">
        <v>21</v>
      </c>
      <c r="F661" s="19">
        <f>F662</f>
        <v>5</v>
      </c>
      <c r="G661" s="19">
        <f t="shared" si="23"/>
        <v>5</v>
      </c>
      <c r="H661" s="80"/>
    </row>
    <row r="662" spans="1:8" ht="38.25" customHeight="1">
      <c r="A662" s="18" t="s">
        <v>34</v>
      </c>
      <c r="B662" s="17" t="s">
        <v>1338</v>
      </c>
      <c r="C662" s="17" t="s">
        <v>1336</v>
      </c>
      <c r="D662" s="54" t="s">
        <v>838</v>
      </c>
      <c r="E662" s="54" t="s">
        <v>416</v>
      </c>
      <c r="F662" s="20">
        <v>5</v>
      </c>
      <c r="G662" s="19">
        <f t="shared" si="23"/>
        <v>5</v>
      </c>
      <c r="H662" s="80"/>
    </row>
    <row r="663" spans="1:8" ht="28.5" customHeight="1">
      <c r="A663" s="158" t="s">
        <v>486</v>
      </c>
      <c r="B663" s="17" t="s">
        <v>1338</v>
      </c>
      <c r="C663" s="17" t="s">
        <v>1336</v>
      </c>
      <c r="D663" s="54" t="s">
        <v>838</v>
      </c>
      <c r="E663" s="54" t="s">
        <v>402</v>
      </c>
      <c r="F663" s="19">
        <f>F664</f>
        <v>295</v>
      </c>
      <c r="G663" s="19">
        <f t="shared" si="23"/>
        <v>295</v>
      </c>
      <c r="H663" s="80"/>
    </row>
    <row r="664" spans="1:8" ht="28.5" customHeight="1">
      <c r="A664" s="36" t="s">
        <v>545</v>
      </c>
      <c r="B664" s="17" t="s">
        <v>1338</v>
      </c>
      <c r="C664" s="17" t="s">
        <v>1336</v>
      </c>
      <c r="D664" s="54" t="s">
        <v>838</v>
      </c>
      <c r="E664" s="54" t="s">
        <v>1333</v>
      </c>
      <c r="F664" s="20">
        <f>300-5</f>
        <v>295</v>
      </c>
      <c r="G664" s="19">
        <f t="shared" si="23"/>
        <v>295</v>
      </c>
      <c r="H664" s="80"/>
    </row>
    <row r="665" spans="1:8" ht="24" hidden="1">
      <c r="A665" s="158" t="s">
        <v>233</v>
      </c>
      <c r="B665" s="17" t="s">
        <v>1338</v>
      </c>
      <c r="C665" s="17" t="s">
        <v>1336</v>
      </c>
      <c r="D665" s="54" t="s">
        <v>838</v>
      </c>
      <c r="E665" s="54" t="s">
        <v>234</v>
      </c>
      <c r="F665" s="20">
        <v>300</v>
      </c>
      <c r="G665" s="19">
        <f>F665-H665</f>
        <v>300</v>
      </c>
      <c r="H665" s="80"/>
    </row>
    <row r="666" spans="1:8" ht="24">
      <c r="A666" s="31" t="s">
        <v>1356</v>
      </c>
      <c r="B666" s="17" t="s">
        <v>1338</v>
      </c>
      <c r="C666" s="17" t="s">
        <v>1338</v>
      </c>
      <c r="D666" s="17"/>
      <c r="E666" s="17"/>
      <c r="F666" s="19">
        <f>F667+F686+F696</f>
        <v>54861</v>
      </c>
      <c r="G666" s="19">
        <f>F666-H666</f>
        <v>54861</v>
      </c>
      <c r="H666" s="19"/>
    </row>
    <row r="667" spans="1:8" ht="36">
      <c r="A667" s="177" t="s">
        <v>1037</v>
      </c>
      <c r="B667" s="17" t="s">
        <v>1338</v>
      </c>
      <c r="C667" s="17" t="s">
        <v>1338</v>
      </c>
      <c r="D667" s="17" t="s">
        <v>1376</v>
      </c>
      <c r="E667" s="17"/>
      <c r="F667" s="19">
        <f>F668</f>
        <v>26285</v>
      </c>
      <c r="G667" s="19">
        <f>F667-H667</f>
        <v>26285</v>
      </c>
      <c r="H667" s="19"/>
    </row>
    <row r="668" spans="1:8" ht="84">
      <c r="A668" s="29" t="s">
        <v>116</v>
      </c>
      <c r="B668" s="17" t="s">
        <v>1338</v>
      </c>
      <c r="C668" s="17" t="s">
        <v>1338</v>
      </c>
      <c r="D668" s="17" t="s">
        <v>599</v>
      </c>
      <c r="E668" s="17"/>
      <c r="F668" s="19">
        <f>F669+F673+F675+F677</f>
        <v>26285</v>
      </c>
      <c r="G668" s="19">
        <f aca="true" t="shared" si="24" ref="G668:G713">F668-H668</f>
        <v>26285</v>
      </c>
      <c r="H668" s="20"/>
    </row>
    <row r="669" spans="1:8" ht="84" customHeight="1">
      <c r="A669" s="29" t="s">
        <v>968</v>
      </c>
      <c r="B669" s="17" t="s">
        <v>1338</v>
      </c>
      <c r="C669" s="17" t="s">
        <v>1338</v>
      </c>
      <c r="D669" s="17" t="s">
        <v>1245</v>
      </c>
      <c r="E669" s="17"/>
      <c r="F669" s="19">
        <f>F670</f>
        <v>7785</v>
      </c>
      <c r="G669" s="19">
        <f t="shared" si="24"/>
        <v>7785</v>
      </c>
      <c r="H669" s="20"/>
    </row>
    <row r="670" spans="1:8" ht="36">
      <c r="A670" s="36" t="s">
        <v>459</v>
      </c>
      <c r="B670" s="17" t="s">
        <v>1338</v>
      </c>
      <c r="C670" s="17" t="s">
        <v>1338</v>
      </c>
      <c r="D670" s="17" t="s">
        <v>1245</v>
      </c>
      <c r="E670" s="17" t="s">
        <v>641</v>
      </c>
      <c r="F670" s="19">
        <f>F671+F672</f>
        <v>7785</v>
      </c>
      <c r="G670" s="19">
        <f t="shared" si="24"/>
        <v>7785</v>
      </c>
      <c r="H670" s="20"/>
    </row>
    <row r="671" spans="1:8" ht="24">
      <c r="A671" s="18" t="s">
        <v>1385</v>
      </c>
      <c r="B671" s="17" t="s">
        <v>1338</v>
      </c>
      <c r="C671" s="17" t="s">
        <v>1338</v>
      </c>
      <c r="D671" s="17" t="s">
        <v>1245</v>
      </c>
      <c r="E671" s="17" t="s">
        <v>419</v>
      </c>
      <c r="F671" s="20">
        <f>2665-1049.9-0.1</f>
        <v>1615</v>
      </c>
      <c r="G671" s="19">
        <f t="shared" si="24"/>
        <v>1615</v>
      </c>
      <c r="H671" s="20"/>
    </row>
    <row r="672" spans="1:8" ht="24">
      <c r="A672" s="18" t="s">
        <v>1066</v>
      </c>
      <c r="B672" s="17" t="s">
        <v>1338</v>
      </c>
      <c r="C672" s="17" t="s">
        <v>1338</v>
      </c>
      <c r="D672" s="17" t="s">
        <v>1245</v>
      </c>
      <c r="E672" s="17" t="s">
        <v>244</v>
      </c>
      <c r="F672" s="20">
        <f>5120+1049.9+0.1</f>
        <v>6170</v>
      </c>
      <c r="G672" s="19">
        <f t="shared" si="24"/>
        <v>6170</v>
      </c>
      <c r="H672" s="20"/>
    </row>
    <row r="673" spans="1:8" ht="24" hidden="1">
      <c r="A673" s="18" t="s">
        <v>31</v>
      </c>
      <c r="B673" s="17" t="s">
        <v>1338</v>
      </c>
      <c r="C673" s="17" t="s">
        <v>1338</v>
      </c>
      <c r="D673" s="17" t="s">
        <v>907</v>
      </c>
      <c r="E673" s="17" t="s">
        <v>402</v>
      </c>
      <c r="F673" s="19">
        <f>F674</f>
        <v>0</v>
      </c>
      <c r="G673" s="19">
        <f t="shared" si="24"/>
        <v>0</v>
      </c>
      <c r="H673" s="20"/>
    </row>
    <row r="674" spans="1:8" ht="24" hidden="1">
      <c r="A674" s="36" t="s">
        <v>545</v>
      </c>
      <c r="B674" s="17" t="s">
        <v>1338</v>
      </c>
      <c r="C674" s="17" t="s">
        <v>1338</v>
      </c>
      <c r="D674" s="17" t="s">
        <v>907</v>
      </c>
      <c r="E674" s="17" t="s">
        <v>1333</v>
      </c>
      <c r="F674" s="20">
        <f>70-70</f>
        <v>0</v>
      </c>
      <c r="G674" s="19">
        <f t="shared" si="24"/>
        <v>0</v>
      </c>
      <c r="H674" s="20"/>
    </row>
    <row r="675" spans="1:8" ht="24">
      <c r="A675" s="158" t="s">
        <v>405</v>
      </c>
      <c r="B675" s="17" t="s">
        <v>1338</v>
      </c>
      <c r="C675" s="17" t="s">
        <v>1338</v>
      </c>
      <c r="D675" s="17" t="s">
        <v>907</v>
      </c>
      <c r="E675" s="17" t="s">
        <v>406</v>
      </c>
      <c r="F675" s="19">
        <f>F676</f>
        <v>1314.5</v>
      </c>
      <c r="G675" s="19">
        <f t="shared" si="24"/>
        <v>1314.5</v>
      </c>
      <c r="H675" s="20"/>
    </row>
    <row r="676" spans="1:8" ht="36">
      <c r="A676" s="18" t="s">
        <v>546</v>
      </c>
      <c r="B676" s="17" t="s">
        <v>1338</v>
      </c>
      <c r="C676" s="17" t="s">
        <v>1338</v>
      </c>
      <c r="D676" s="17" t="s">
        <v>907</v>
      </c>
      <c r="E676" s="17" t="s">
        <v>1015</v>
      </c>
      <c r="F676" s="20">
        <f>2895-507-800-273.5</f>
        <v>1314.5</v>
      </c>
      <c r="G676" s="19">
        <f t="shared" si="24"/>
        <v>1314.5</v>
      </c>
      <c r="H676" s="20"/>
    </row>
    <row r="677" spans="1:8" ht="36">
      <c r="A677" s="36" t="s">
        <v>459</v>
      </c>
      <c r="B677" s="17" t="s">
        <v>1338</v>
      </c>
      <c r="C677" s="17" t="s">
        <v>1338</v>
      </c>
      <c r="D677" s="17" t="s">
        <v>907</v>
      </c>
      <c r="E677" s="17" t="s">
        <v>641</v>
      </c>
      <c r="F677" s="19">
        <f>F678+F681</f>
        <v>17185.5</v>
      </c>
      <c r="G677" s="19">
        <f t="shared" si="24"/>
        <v>17185.5</v>
      </c>
      <c r="H677" s="20"/>
    </row>
    <row r="678" spans="1:8" ht="24">
      <c r="A678" s="18" t="s">
        <v>390</v>
      </c>
      <c r="B678" s="17" t="s">
        <v>1338</v>
      </c>
      <c r="C678" s="17" t="s">
        <v>1338</v>
      </c>
      <c r="D678" s="17" t="s">
        <v>907</v>
      </c>
      <c r="E678" s="17" t="s">
        <v>419</v>
      </c>
      <c r="F678" s="19">
        <f>F679</f>
        <v>6733.9000000000015</v>
      </c>
      <c r="G678" s="19">
        <f t="shared" si="24"/>
        <v>6733.9000000000015</v>
      </c>
      <c r="H678" s="20"/>
    </row>
    <row r="679" spans="1:8" ht="24">
      <c r="A679" s="18" t="s">
        <v>1385</v>
      </c>
      <c r="B679" s="17" t="s">
        <v>1338</v>
      </c>
      <c r="C679" s="17" t="s">
        <v>1338</v>
      </c>
      <c r="D679" s="17" t="s">
        <v>907</v>
      </c>
      <c r="E679" s="17" t="s">
        <v>419</v>
      </c>
      <c r="F679" s="19">
        <f>F680</f>
        <v>6733.9000000000015</v>
      </c>
      <c r="G679" s="19">
        <f t="shared" si="24"/>
        <v>6733.9000000000015</v>
      </c>
      <c r="H679" s="20"/>
    </row>
    <row r="680" spans="1:8" ht="36">
      <c r="A680" s="18" t="s">
        <v>1252</v>
      </c>
      <c r="B680" s="17" t="s">
        <v>1338</v>
      </c>
      <c r="C680" s="17" t="s">
        <v>1338</v>
      </c>
      <c r="D680" s="17" t="s">
        <v>907</v>
      </c>
      <c r="E680" s="17" t="s">
        <v>419</v>
      </c>
      <c r="F680" s="20">
        <f>18500-200.1-120.5-12595+2200-383-667.4-0.1</f>
        <v>6733.9000000000015</v>
      </c>
      <c r="G680" s="19">
        <f t="shared" si="24"/>
        <v>6733.9000000000015</v>
      </c>
      <c r="H680" s="20"/>
    </row>
    <row r="681" spans="1:8" ht="24">
      <c r="A681" s="18" t="s">
        <v>883</v>
      </c>
      <c r="B681" s="17" t="s">
        <v>1338</v>
      </c>
      <c r="C681" s="17" t="s">
        <v>1338</v>
      </c>
      <c r="D681" s="17" t="s">
        <v>907</v>
      </c>
      <c r="E681" s="17" t="s">
        <v>244</v>
      </c>
      <c r="F681" s="19">
        <f>F682</f>
        <v>10451.6</v>
      </c>
      <c r="G681" s="19">
        <f t="shared" si="24"/>
        <v>10451.6</v>
      </c>
      <c r="H681" s="20"/>
    </row>
    <row r="682" spans="1:8" ht="24">
      <c r="A682" s="18" t="s">
        <v>1066</v>
      </c>
      <c r="B682" s="17" t="s">
        <v>1338</v>
      </c>
      <c r="C682" s="17" t="s">
        <v>1338</v>
      </c>
      <c r="D682" s="17" t="s">
        <v>907</v>
      </c>
      <c r="E682" s="17" t="s">
        <v>244</v>
      </c>
      <c r="F682" s="19">
        <f>F683</f>
        <v>10451.6</v>
      </c>
      <c r="G682" s="19">
        <f t="shared" si="24"/>
        <v>10451.6</v>
      </c>
      <c r="H682" s="20"/>
    </row>
    <row r="683" spans="1:8" ht="36">
      <c r="A683" s="18" t="s">
        <v>37</v>
      </c>
      <c r="B683" s="17" t="s">
        <v>1338</v>
      </c>
      <c r="C683" s="17" t="s">
        <v>1338</v>
      </c>
      <c r="D683" s="17" t="s">
        <v>907</v>
      </c>
      <c r="E683" s="17" t="s">
        <v>244</v>
      </c>
      <c r="F683" s="20">
        <f>200.1+120.5+9630-2200+960+667.4+0.1+800+273.5</f>
        <v>10451.6</v>
      </c>
      <c r="G683" s="19">
        <f t="shared" si="24"/>
        <v>10451.6</v>
      </c>
      <c r="H683" s="20"/>
    </row>
    <row r="684" spans="1:8" ht="24" hidden="1">
      <c r="A684" s="18" t="s">
        <v>1054</v>
      </c>
      <c r="B684" s="17" t="s">
        <v>1338</v>
      </c>
      <c r="C684" s="17" t="s">
        <v>1338</v>
      </c>
      <c r="D684" s="17" t="s">
        <v>403</v>
      </c>
      <c r="E684" s="17" t="s">
        <v>1104</v>
      </c>
      <c r="F684" s="19">
        <f>F685</f>
        <v>0</v>
      </c>
      <c r="G684" s="19">
        <f t="shared" si="24"/>
        <v>0</v>
      </c>
      <c r="H684" s="20"/>
    </row>
    <row r="685" spans="1:8" ht="24" hidden="1">
      <c r="A685" s="18" t="s">
        <v>1454</v>
      </c>
      <c r="B685" s="17" t="s">
        <v>1338</v>
      </c>
      <c r="C685" s="17" t="s">
        <v>1338</v>
      </c>
      <c r="D685" s="17" t="s">
        <v>403</v>
      </c>
      <c r="E685" s="17" t="s">
        <v>1104</v>
      </c>
      <c r="F685" s="20"/>
      <c r="G685" s="19">
        <f t="shared" si="24"/>
        <v>0</v>
      </c>
      <c r="H685" s="20"/>
    </row>
    <row r="686" spans="1:8" ht="36">
      <c r="A686" s="33" t="s">
        <v>1043</v>
      </c>
      <c r="B686" s="17" t="s">
        <v>1338</v>
      </c>
      <c r="C686" s="17" t="s">
        <v>1338</v>
      </c>
      <c r="D686" s="17" t="s">
        <v>54</v>
      </c>
      <c r="E686" s="17"/>
      <c r="F686" s="19">
        <f>F687</f>
        <v>27876</v>
      </c>
      <c r="G686" s="19">
        <f t="shared" si="24"/>
        <v>27876</v>
      </c>
      <c r="H686" s="20"/>
    </row>
    <row r="687" spans="1:8" ht="36">
      <c r="A687" s="18" t="s">
        <v>53</v>
      </c>
      <c r="B687" s="17" t="s">
        <v>1338</v>
      </c>
      <c r="C687" s="17" t="s">
        <v>1338</v>
      </c>
      <c r="D687" s="17" t="s">
        <v>55</v>
      </c>
      <c r="E687" s="17"/>
      <c r="F687" s="19">
        <f>F688</f>
        <v>27876</v>
      </c>
      <c r="G687" s="19">
        <f t="shared" si="24"/>
        <v>27876</v>
      </c>
      <c r="H687" s="20"/>
    </row>
    <row r="688" spans="1:8" ht="36">
      <c r="A688" s="36" t="s">
        <v>459</v>
      </c>
      <c r="B688" s="17" t="s">
        <v>1338</v>
      </c>
      <c r="C688" s="17" t="s">
        <v>1338</v>
      </c>
      <c r="D688" s="17" t="s">
        <v>56</v>
      </c>
      <c r="E688" s="17" t="s">
        <v>641</v>
      </c>
      <c r="F688" s="19">
        <f>F689</f>
        <v>27876</v>
      </c>
      <c r="G688" s="19">
        <f t="shared" si="24"/>
        <v>27876</v>
      </c>
      <c r="H688" s="20"/>
    </row>
    <row r="689" spans="1:8" ht="24">
      <c r="A689" s="18" t="s">
        <v>390</v>
      </c>
      <c r="B689" s="17" t="s">
        <v>1338</v>
      </c>
      <c r="C689" s="17" t="s">
        <v>1338</v>
      </c>
      <c r="D689" s="17" t="s">
        <v>56</v>
      </c>
      <c r="E689" s="17" t="s">
        <v>419</v>
      </c>
      <c r="F689" s="20">
        <f>28666.9+2800-2083.9+275+18-1450+150-500</f>
        <v>27876</v>
      </c>
      <c r="G689" s="19">
        <f t="shared" si="24"/>
        <v>27876</v>
      </c>
      <c r="H689" s="20"/>
    </row>
    <row r="690" spans="1:8" ht="24" hidden="1">
      <c r="A690" s="18" t="s">
        <v>417</v>
      </c>
      <c r="B690" s="17" t="s">
        <v>1338</v>
      </c>
      <c r="C690" s="17" t="s">
        <v>1338</v>
      </c>
      <c r="D690" s="17" t="s">
        <v>56</v>
      </c>
      <c r="E690" s="17" t="s">
        <v>420</v>
      </c>
      <c r="F690" s="20">
        <v>26583</v>
      </c>
      <c r="G690" s="19">
        <f t="shared" si="24"/>
        <v>26583</v>
      </c>
      <c r="H690" s="20"/>
    </row>
    <row r="691" spans="1:8" ht="24" hidden="1">
      <c r="A691" s="18" t="s">
        <v>1385</v>
      </c>
      <c r="B691" s="17" t="s">
        <v>1338</v>
      </c>
      <c r="C691" s="17" t="s">
        <v>1338</v>
      </c>
      <c r="D691" s="17" t="s">
        <v>56</v>
      </c>
      <c r="E691" s="17" t="s">
        <v>88</v>
      </c>
      <c r="F691" s="19">
        <f>F692+F693</f>
        <v>3075</v>
      </c>
      <c r="G691" s="19">
        <f t="shared" si="24"/>
        <v>3075</v>
      </c>
      <c r="H691" s="20"/>
    </row>
    <row r="692" spans="1:8" ht="36">
      <c r="A692" s="18" t="s">
        <v>760</v>
      </c>
      <c r="B692" s="17" t="s">
        <v>1338</v>
      </c>
      <c r="C692" s="17" t="s">
        <v>1338</v>
      </c>
      <c r="D692" s="17" t="s">
        <v>56</v>
      </c>
      <c r="E692" s="17" t="s">
        <v>419</v>
      </c>
      <c r="F692" s="20">
        <f>2800+275</f>
        <v>3075</v>
      </c>
      <c r="G692" s="19">
        <f t="shared" si="24"/>
        <v>3075</v>
      </c>
      <c r="H692" s="20"/>
    </row>
    <row r="693" spans="1:8" ht="24" hidden="1">
      <c r="A693" s="18" t="s">
        <v>236</v>
      </c>
      <c r="B693" s="17" t="s">
        <v>1338</v>
      </c>
      <c r="C693" s="17" t="s">
        <v>1338</v>
      </c>
      <c r="D693" s="17" t="s">
        <v>56</v>
      </c>
      <c r="E693" s="17" t="s">
        <v>88</v>
      </c>
      <c r="F693" s="20"/>
      <c r="G693" s="19">
        <f t="shared" si="24"/>
        <v>0</v>
      </c>
      <c r="H693" s="20"/>
    </row>
    <row r="694" spans="1:8" ht="24">
      <c r="A694" s="18" t="s">
        <v>236</v>
      </c>
      <c r="B694" s="17" t="s">
        <v>1338</v>
      </c>
      <c r="C694" s="17" t="s">
        <v>1338</v>
      </c>
      <c r="D694" s="17" t="s">
        <v>56</v>
      </c>
      <c r="E694" s="17" t="s">
        <v>419</v>
      </c>
      <c r="F694" s="20">
        <f>18+8</f>
        <v>26</v>
      </c>
      <c r="G694" s="19">
        <f>F694</f>
        <v>26</v>
      </c>
      <c r="H694" s="20"/>
    </row>
    <row r="695" spans="1:8" ht="24">
      <c r="A695" s="18" t="s">
        <v>413</v>
      </c>
      <c r="B695" s="17" t="s">
        <v>1338</v>
      </c>
      <c r="C695" s="17" t="s">
        <v>1338</v>
      </c>
      <c r="D695" s="17" t="s">
        <v>56</v>
      </c>
      <c r="E695" s="17" t="s">
        <v>419</v>
      </c>
      <c r="F695" s="20">
        <v>150</v>
      </c>
      <c r="G695" s="19">
        <f>F695-H695</f>
        <v>150</v>
      </c>
      <c r="H695" s="20"/>
    </row>
    <row r="696" spans="1:8" ht="60">
      <c r="A696" s="18" t="s">
        <v>609</v>
      </c>
      <c r="B696" s="17" t="s">
        <v>1338</v>
      </c>
      <c r="C696" s="17" t="s">
        <v>1338</v>
      </c>
      <c r="D696" s="17" t="s">
        <v>1227</v>
      </c>
      <c r="E696" s="17" t="s">
        <v>1204</v>
      </c>
      <c r="F696" s="19">
        <f>F697</f>
        <v>700</v>
      </c>
      <c r="G696" s="19">
        <f t="shared" si="24"/>
        <v>700</v>
      </c>
      <c r="H696" s="20"/>
    </row>
    <row r="697" spans="1:8" ht="36">
      <c r="A697" s="36" t="s">
        <v>459</v>
      </c>
      <c r="B697" s="17" t="s">
        <v>1338</v>
      </c>
      <c r="C697" s="17" t="s">
        <v>1338</v>
      </c>
      <c r="D697" s="17" t="s">
        <v>1227</v>
      </c>
      <c r="E697" s="17" t="s">
        <v>641</v>
      </c>
      <c r="F697" s="19">
        <f>F698</f>
        <v>700</v>
      </c>
      <c r="G697" s="19">
        <f t="shared" si="24"/>
        <v>700</v>
      </c>
      <c r="H697" s="20"/>
    </row>
    <row r="698" spans="1:8" ht="24">
      <c r="A698" s="18" t="s">
        <v>418</v>
      </c>
      <c r="B698" s="17" t="s">
        <v>1338</v>
      </c>
      <c r="C698" s="17" t="s">
        <v>1338</v>
      </c>
      <c r="D698" s="17" t="s">
        <v>1227</v>
      </c>
      <c r="E698" s="17" t="s">
        <v>419</v>
      </c>
      <c r="F698" s="20">
        <v>700</v>
      </c>
      <c r="G698" s="19">
        <f t="shared" si="24"/>
        <v>700</v>
      </c>
      <c r="H698" s="20"/>
    </row>
    <row r="699" spans="1:12" ht="24">
      <c r="A699" s="40" t="s">
        <v>81</v>
      </c>
      <c r="B699" s="17" t="s">
        <v>1338</v>
      </c>
      <c r="C699" s="17" t="s">
        <v>1339</v>
      </c>
      <c r="D699" s="17"/>
      <c r="E699" s="17"/>
      <c r="F699" s="19">
        <f>F700</f>
        <v>116784.7</v>
      </c>
      <c r="G699" s="19">
        <f t="shared" si="24"/>
        <v>111520.7</v>
      </c>
      <c r="H699" s="19">
        <f>H701+H714</f>
        <v>5264</v>
      </c>
      <c r="I699" s="81"/>
      <c r="J699" s="82"/>
      <c r="K699" s="81"/>
      <c r="L699" s="81"/>
    </row>
    <row r="700" spans="1:12" ht="36">
      <c r="A700" s="177" t="s">
        <v>1037</v>
      </c>
      <c r="B700" s="17" t="s">
        <v>1338</v>
      </c>
      <c r="C700" s="17" t="s">
        <v>1339</v>
      </c>
      <c r="D700" s="17" t="s">
        <v>1376</v>
      </c>
      <c r="E700" s="17"/>
      <c r="F700" s="19">
        <f>F701+F714</f>
        <v>116784.7</v>
      </c>
      <c r="G700" s="19">
        <f t="shared" si="24"/>
        <v>111520.7</v>
      </c>
      <c r="H700" s="19">
        <f>H701+H714</f>
        <v>5264</v>
      </c>
      <c r="I700" s="81"/>
      <c r="J700" s="82"/>
      <c r="K700" s="81"/>
      <c r="L700" s="81"/>
    </row>
    <row r="701" spans="1:12" ht="36">
      <c r="A701" s="18" t="s">
        <v>906</v>
      </c>
      <c r="B701" s="17" t="s">
        <v>1338</v>
      </c>
      <c r="C701" s="17" t="s">
        <v>1339</v>
      </c>
      <c r="D701" s="17" t="s">
        <v>1231</v>
      </c>
      <c r="E701" s="17"/>
      <c r="F701" s="19">
        <f>F702+F730</f>
        <v>102938.7</v>
      </c>
      <c r="G701" s="19">
        <f t="shared" si="24"/>
        <v>101331.7</v>
      </c>
      <c r="H701" s="19">
        <f>H702+H730</f>
        <v>1607</v>
      </c>
      <c r="I701" s="81"/>
      <c r="J701" s="82"/>
      <c r="K701" s="81"/>
      <c r="L701" s="81"/>
    </row>
    <row r="702" spans="1:8" ht="48">
      <c r="A702" s="36" t="s">
        <v>1330</v>
      </c>
      <c r="B702" s="17" t="s">
        <v>1338</v>
      </c>
      <c r="C702" s="17" t="s">
        <v>1339</v>
      </c>
      <c r="D702" s="17" t="s">
        <v>908</v>
      </c>
      <c r="E702" s="17"/>
      <c r="F702" s="19">
        <f>F703</f>
        <v>30071</v>
      </c>
      <c r="G702" s="19">
        <f t="shared" si="24"/>
        <v>30071</v>
      </c>
      <c r="H702" s="19">
        <f>H703</f>
        <v>0</v>
      </c>
    </row>
    <row r="703" spans="1:8" ht="21" customHeight="1">
      <c r="A703" s="18" t="s">
        <v>633</v>
      </c>
      <c r="B703" s="17" t="s">
        <v>1338</v>
      </c>
      <c r="C703" s="17" t="s">
        <v>1339</v>
      </c>
      <c r="D703" s="17" t="s">
        <v>908</v>
      </c>
      <c r="E703" s="17" t="s">
        <v>1204</v>
      </c>
      <c r="F703" s="19">
        <f>F704+F707+F711</f>
        <v>30071</v>
      </c>
      <c r="G703" s="19">
        <f t="shared" si="24"/>
        <v>30071</v>
      </c>
      <c r="H703" s="19">
        <f>H705+H708+H712</f>
        <v>0</v>
      </c>
    </row>
    <row r="704" spans="1:8" ht="79.5" customHeight="1">
      <c r="A704" s="158" t="s">
        <v>485</v>
      </c>
      <c r="B704" s="17" t="s">
        <v>1338</v>
      </c>
      <c r="C704" s="17" t="s">
        <v>1339</v>
      </c>
      <c r="D704" s="17" t="s">
        <v>908</v>
      </c>
      <c r="E704" s="17" t="s">
        <v>21</v>
      </c>
      <c r="F704" s="19">
        <f>F705</f>
        <v>26766</v>
      </c>
      <c r="G704" s="19">
        <f t="shared" si="24"/>
        <v>26766</v>
      </c>
      <c r="H704" s="19"/>
    </row>
    <row r="705" spans="1:8" ht="24">
      <c r="A705" s="18" t="s">
        <v>34</v>
      </c>
      <c r="B705" s="17" t="s">
        <v>1338</v>
      </c>
      <c r="C705" s="17" t="s">
        <v>1339</v>
      </c>
      <c r="D705" s="17" t="s">
        <v>908</v>
      </c>
      <c r="E705" s="17" t="s">
        <v>416</v>
      </c>
      <c r="F705" s="20">
        <v>26766</v>
      </c>
      <c r="G705" s="19">
        <f t="shared" si="24"/>
        <v>26766</v>
      </c>
      <c r="H705" s="19">
        <f>H706</f>
        <v>0</v>
      </c>
    </row>
    <row r="706" spans="1:8" ht="15" hidden="1">
      <c r="A706" s="158" t="s">
        <v>812</v>
      </c>
      <c r="B706" s="17" t="s">
        <v>1338</v>
      </c>
      <c r="C706" s="17" t="s">
        <v>1339</v>
      </c>
      <c r="D706" s="17" t="s">
        <v>908</v>
      </c>
      <c r="E706" s="17" t="s">
        <v>813</v>
      </c>
      <c r="F706" s="20">
        <v>26766</v>
      </c>
      <c r="G706" s="19">
        <f t="shared" si="24"/>
        <v>26766</v>
      </c>
      <c r="H706" s="19"/>
    </row>
    <row r="707" spans="1:8" ht="24">
      <c r="A707" s="158" t="s">
        <v>486</v>
      </c>
      <c r="B707" s="17" t="s">
        <v>1338</v>
      </c>
      <c r="C707" s="17" t="s">
        <v>1339</v>
      </c>
      <c r="D707" s="17" t="s">
        <v>908</v>
      </c>
      <c r="E707" s="17" t="s">
        <v>402</v>
      </c>
      <c r="F707" s="19">
        <f>F708</f>
        <v>3245</v>
      </c>
      <c r="G707" s="19">
        <f t="shared" si="24"/>
        <v>3245</v>
      </c>
      <c r="H707" s="19"/>
    </row>
    <row r="708" spans="1:8" ht="24">
      <c r="A708" s="158" t="s">
        <v>471</v>
      </c>
      <c r="B708" s="17" t="s">
        <v>1338</v>
      </c>
      <c r="C708" s="17" t="s">
        <v>1339</v>
      </c>
      <c r="D708" s="17" t="s">
        <v>908</v>
      </c>
      <c r="E708" s="17" t="s">
        <v>1333</v>
      </c>
      <c r="F708" s="20">
        <v>3245</v>
      </c>
      <c r="G708" s="19">
        <f t="shared" si="24"/>
        <v>3245</v>
      </c>
      <c r="H708" s="19"/>
    </row>
    <row r="709" spans="1:8" ht="36" hidden="1">
      <c r="A709" s="158" t="s">
        <v>1076</v>
      </c>
      <c r="B709" s="17" t="s">
        <v>1338</v>
      </c>
      <c r="C709" s="17" t="s">
        <v>1339</v>
      </c>
      <c r="D709" s="17" t="s">
        <v>908</v>
      </c>
      <c r="E709" s="17" t="s">
        <v>516</v>
      </c>
      <c r="F709" s="20">
        <v>500</v>
      </c>
      <c r="G709" s="19">
        <f t="shared" si="24"/>
        <v>500</v>
      </c>
      <c r="H709" s="19"/>
    </row>
    <row r="710" spans="1:8" ht="24" hidden="1">
      <c r="A710" s="158" t="s">
        <v>233</v>
      </c>
      <c r="B710" s="17" t="s">
        <v>1338</v>
      </c>
      <c r="C710" s="17" t="s">
        <v>1339</v>
      </c>
      <c r="D710" s="17" t="s">
        <v>908</v>
      </c>
      <c r="E710" s="17" t="s">
        <v>234</v>
      </c>
      <c r="F710" s="20">
        <v>2745</v>
      </c>
      <c r="G710" s="19">
        <f t="shared" si="24"/>
        <v>2745</v>
      </c>
      <c r="H710" s="19"/>
    </row>
    <row r="711" spans="1:8" ht="24">
      <c r="A711" s="158" t="s">
        <v>1189</v>
      </c>
      <c r="B711" s="17" t="s">
        <v>1338</v>
      </c>
      <c r="C711" s="17" t="s">
        <v>1339</v>
      </c>
      <c r="D711" s="17" t="s">
        <v>908</v>
      </c>
      <c r="E711" s="17" t="s">
        <v>1190</v>
      </c>
      <c r="F711" s="19">
        <f>F712</f>
        <v>60</v>
      </c>
      <c r="G711" s="19">
        <f t="shared" si="24"/>
        <v>60</v>
      </c>
      <c r="H711" s="19">
        <f>H712</f>
        <v>0</v>
      </c>
    </row>
    <row r="712" spans="1:8" ht="24">
      <c r="A712" s="158" t="s">
        <v>1059</v>
      </c>
      <c r="B712" s="17" t="s">
        <v>1338</v>
      </c>
      <c r="C712" s="17" t="s">
        <v>1339</v>
      </c>
      <c r="D712" s="17" t="s">
        <v>908</v>
      </c>
      <c r="E712" s="17" t="s">
        <v>1060</v>
      </c>
      <c r="F712" s="20">
        <v>60</v>
      </c>
      <c r="G712" s="19">
        <f t="shared" si="24"/>
        <v>60</v>
      </c>
      <c r="H712" s="19">
        <f>H713</f>
        <v>0</v>
      </c>
    </row>
    <row r="713" spans="1:8" ht="24" hidden="1">
      <c r="A713" s="159" t="s">
        <v>819</v>
      </c>
      <c r="B713" s="17" t="s">
        <v>1338</v>
      </c>
      <c r="C713" s="17" t="s">
        <v>1339</v>
      </c>
      <c r="D713" s="17" t="s">
        <v>908</v>
      </c>
      <c r="E713" s="17" t="s">
        <v>543</v>
      </c>
      <c r="F713" s="20">
        <v>60</v>
      </c>
      <c r="G713" s="19">
        <f t="shared" si="24"/>
        <v>60</v>
      </c>
      <c r="H713" s="19"/>
    </row>
    <row r="714" spans="1:8" ht="37.5" customHeight="1">
      <c r="A714" s="173" t="s">
        <v>831</v>
      </c>
      <c r="B714" s="54" t="s">
        <v>1338</v>
      </c>
      <c r="C714" s="54" t="s">
        <v>1339</v>
      </c>
      <c r="D714" s="54" t="s">
        <v>1383</v>
      </c>
      <c r="E714" s="54"/>
      <c r="F714" s="19">
        <f>F715+F720+F718+F728</f>
        <v>13846</v>
      </c>
      <c r="G714" s="19">
        <f>F714-H714</f>
        <v>10189</v>
      </c>
      <c r="H714" s="19">
        <f>H715+H720+H719</f>
        <v>3657</v>
      </c>
    </row>
    <row r="715" spans="1:8" ht="165" customHeight="1" hidden="1">
      <c r="A715" s="178" t="s">
        <v>249</v>
      </c>
      <c r="B715" s="54" t="s">
        <v>1338</v>
      </c>
      <c r="C715" s="54" t="s">
        <v>1339</v>
      </c>
      <c r="D715" s="54" t="s">
        <v>250</v>
      </c>
      <c r="E715" s="54" t="s">
        <v>1204</v>
      </c>
      <c r="F715" s="19">
        <f>F717</f>
        <v>0</v>
      </c>
      <c r="G715" s="19">
        <f>F715-H715</f>
        <v>0</v>
      </c>
      <c r="H715" s="19">
        <f>H717</f>
        <v>0</v>
      </c>
    </row>
    <row r="716" spans="1:8" ht="33" customHeight="1" hidden="1">
      <c r="A716" s="36" t="s">
        <v>459</v>
      </c>
      <c r="B716" s="54" t="s">
        <v>1338</v>
      </c>
      <c r="C716" s="54" t="s">
        <v>1339</v>
      </c>
      <c r="D716" s="54" t="s">
        <v>250</v>
      </c>
      <c r="E716" s="54" t="s">
        <v>641</v>
      </c>
      <c r="F716" s="19">
        <f>F717</f>
        <v>0</v>
      </c>
      <c r="G716" s="19"/>
      <c r="H716" s="19">
        <f>H717</f>
        <v>0</v>
      </c>
    </row>
    <row r="717" spans="1:8" ht="31.5" customHeight="1" hidden="1">
      <c r="A717" s="179" t="s">
        <v>825</v>
      </c>
      <c r="B717" s="54" t="s">
        <v>1338</v>
      </c>
      <c r="C717" s="54" t="s">
        <v>1339</v>
      </c>
      <c r="D717" s="54" t="s">
        <v>250</v>
      </c>
      <c r="E717" s="54" t="s">
        <v>1078</v>
      </c>
      <c r="F717" s="20"/>
      <c r="G717" s="19">
        <f>F717-H717</f>
        <v>0</v>
      </c>
      <c r="H717" s="20"/>
    </row>
    <row r="718" spans="1:8" ht="37.5" customHeight="1" hidden="1">
      <c r="A718" s="36" t="s">
        <v>459</v>
      </c>
      <c r="B718" s="54" t="s">
        <v>1338</v>
      </c>
      <c r="C718" s="54" t="s">
        <v>1339</v>
      </c>
      <c r="D718" s="54" t="s">
        <v>1387</v>
      </c>
      <c r="E718" s="54" t="s">
        <v>641</v>
      </c>
      <c r="F718" s="19">
        <f>F719</f>
        <v>0</v>
      </c>
      <c r="G718" s="19"/>
      <c r="H718" s="19">
        <f>H719</f>
        <v>0</v>
      </c>
    </row>
    <row r="719" spans="1:8" ht="88.5" customHeight="1" hidden="1">
      <c r="A719" s="180" t="s">
        <v>251</v>
      </c>
      <c r="B719" s="54" t="s">
        <v>1338</v>
      </c>
      <c r="C719" s="54" t="s">
        <v>1339</v>
      </c>
      <c r="D719" s="54" t="s">
        <v>1387</v>
      </c>
      <c r="E719" s="54" t="s">
        <v>1078</v>
      </c>
      <c r="F719" s="20"/>
      <c r="G719" s="19">
        <f>F719-H719</f>
        <v>0</v>
      </c>
      <c r="H719" s="20"/>
    </row>
    <row r="720" spans="1:8" ht="201" customHeight="1">
      <c r="A720" s="179" t="s">
        <v>1230</v>
      </c>
      <c r="B720" s="54" t="s">
        <v>1338</v>
      </c>
      <c r="C720" s="54" t="s">
        <v>1339</v>
      </c>
      <c r="D720" s="54" t="s">
        <v>1384</v>
      </c>
      <c r="E720" s="54" t="s">
        <v>1204</v>
      </c>
      <c r="F720" s="19">
        <f>F721+F725</f>
        <v>3657</v>
      </c>
      <c r="G720" s="19">
        <f>F720-H720</f>
        <v>0</v>
      </c>
      <c r="H720" s="19">
        <f>H721+H725</f>
        <v>3657</v>
      </c>
    </row>
    <row r="721" spans="1:8" ht="15" hidden="1">
      <c r="A721" s="18" t="s">
        <v>418</v>
      </c>
      <c r="B721" s="54" t="s">
        <v>1338</v>
      </c>
      <c r="C721" s="54" t="s">
        <v>1339</v>
      </c>
      <c r="D721" s="54" t="s">
        <v>199</v>
      </c>
      <c r="E721" s="54" t="s">
        <v>419</v>
      </c>
      <c r="F721" s="19">
        <f>F722+F723</f>
        <v>0</v>
      </c>
      <c r="G721" s="19">
        <f aca="true" t="shared" si="25" ref="G721:G778">F721-H721</f>
        <v>0</v>
      </c>
      <c r="H721" s="20"/>
    </row>
    <row r="722" spans="1:8" ht="24" hidden="1">
      <c r="A722" s="18" t="s">
        <v>417</v>
      </c>
      <c r="B722" s="54" t="s">
        <v>1338</v>
      </c>
      <c r="C722" s="54" t="s">
        <v>1339</v>
      </c>
      <c r="D722" s="54" t="s">
        <v>199</v>
      </c>
      <c r="E722" s="54" t="s">
        <v>420</v>
      </c>
      <c r="F722" s="20"/>
      <c r="G722" s="19">
        <f t="shared" si="25"/>
        <v>0</v>
      </c>
      <c r="H722" s="20"/>
    </row>
    <row r="723" spans="1:8" ht="24" hidden="1">
      <c r="A723" s="18" t="s">
        <v>235</v>
      </c>
      <c r="B723" s="54" t="s">
        <v>1338</v>
      </c>
      <c r="C723" s="54" t="s">
        <v>1339</v>
      </c>
      <c r="D723" s="54" t="s">
        <v>199</v>
      </c>
      <c r="E723" s="54" t="s">
        <v>88</v>
      </c>
      <c r="F723" s="19">
        <f>F724</f>
        <v>0</v>
      </c>
      <c r="G723" s="19">
        <f t="shared" si="25"/>
        <v>0</v>
      </c>
      <c r="H723" s="20"/>
    </row>
    <row r="724" spans="1:8" ht="24" hidden="1">
      <c r="A724" s="18" t="s">
        <v>193</v>
      </c>
      <c r="B724" s="54" t="s">
        <v>1338</v>
      </c>
      <c r="C724" s="54" t="s">
        <v>1339</v>
      </c>
      <c r="D724" s="54" t="s">
        <v>199</v>
      </c>
      <c r="E724" s="54" t="s">
        <v>88</v>
      </c>
      <c r="F724" s="20"/>
      <c r="G724" s="19">
        <f t="shared" si="25"/>
        <v>0</v>
      </c>
      <c r="H724" s="20"/>
    </row>
    <row r="725" spans="1:8" ht="36">
      <c r="A725" s="36" t="s">
        <v>459</v>
      </c>
      <c r="B725" s="54" t="s">
        <v>1338</v>
      </c>
      <c r="C725" s="54" t="s">
        <v>1339</v>
      </c>
      <c r="D725" s="54" t="s">
        <v>1384</v>
      </c>
      <c r="E725" s="54" t="s">
        <v>641</v>
      </c>
      <c r="F725" s="19">
        <f>F726</f>
        <v>3657</v>
      </c>
      <c r="G725" s="19">
        <f t="shared" si="25"/>
        <v>0</v>
      </c>
      <c r="H725" s="19">
        <f>H726</f>
        <v>3657</v>
      </c>
    </row>
    <row r="726" spans="1:8" ht="24">
      <c r="A726" s="18" t="s">
        <v>515</v>
      </c>
      <c r="B726" s="54" t="s">
        <v>1338</v>
      </c>
      <c r="C726" s="54" t="s">
        <v>1339</v>
      </c>
      <c r="D726" s="54" t="s">
        <v>1384</v>
      </c>
      <c r="E726" s="54" t="s">
        <v>244</v>
      </c>
      <c r="F726" s="20">
        <v>3657</v>
      </c>
      <c r="G726" s="19">
        <f t="shared" si="25"/>
        <v>0</v>
      </c>
      <c r="H726" s="20">
        <v>3657</v>
      </c>
    </row>
    <row r="727" spans="1:8" ht="24" hidden="1">
      <c r="A727" s="18" t="s">
        <v>1457</v>
      </c>
      <c r="B727" s="54" t="s">
        <v>1338</v>
      </c>
      <c r="C727" s="54" t="s">
        <v>1339</v>
      </c>
      <c r="D727" s="54" t="s">
        <v>1384</v>
      </c>
      <c r="E727" s="54" t="s">
        <v>245</v>
      </c>
      <c r="F727" s="20">
        <v>0</v>
      </c>
      <c r="G727" s="19">
        <f t="shared" si="25"/>
        <v>0</v>
      </c>
      <c r="H727" s="20">
        <v>0</v>
      </c>
    </row>
    <row r="728" spans="1:8" ht="36">
      <c r="A728" s="36" t="s">
        <v>459</v>
      </c>
      <c r="B728" s="54" t="s">
        <v>1338</v>
      </c>
      <c r="C728" s="54" t="s">
        <v>1339</v>
      </c>
      <c r="D728" s="54" t="s">
        <v>597</v>
      </c>
      <c r="E728" s="54" t="s">
        <v>641</v>
      </c>
      <c r="F728" s="19">
        <f>F729</f>
        <v>10189</v>
      </c>
      <c r="G728" s="19">
        <f t="shared" si="25"/>
        <v>10189</v>
      </c>
      <c r="H728" s="20"/>
    </row>
    <row r="729" spans="1:8" ht="24">
      <c r="A729" s="18" t="s">
        <v>515</v>
      </c>
      <c r="B729" s="54" t="s">
        <v>1338</v>
      </c>
      <c r="C729" s="54" t="s">
        <v>1339</v>
      </c>
      <c r="D729" s="54" t="s">
        <v>597</v>
      </c>
      <c r="E729" s="54" t="s">
        <v>244</v>
      </c>
      <c r="F729" s="20">
        <f>10189</f>
        <v>10189</v>
      </c>
      <c r="G729" s="19">
        <f t="shared" si="25"/>
        <v>10189</v>
      </c>
      <c r="H729" s="20"/>
    </row>
    <row r="730" spans="1:8" ht="36">
      <c r="A730" s="18" t="s">
        <v>906</v>
      </c>
      <c r="B730" s="54" t="s">
        <v>1338</v>
      </c>
      <c r="C730" s="54" t="s">
        <v>1339</v>
      </c>
      <c r="D730" s="54" t="s">
        <v>1231</v>
      </c>
      <c r="E730" s="54"/>
      <c r="F730" s="19">
        <f>F731+F735+F739</f>
        <v>72867.7</v>
      </c>
      <c r="G730" s="19">
        <f t="shared" si="25"/>
        <v>71260.7</v>
      </c>
      <c r="H730" s="19">
        <f>H731+H735+H740+H742</f>
        <v>1607</v>
      </c>
    </row>
    <row r="731" spans="1:8" ht="107.25" customHeight="1">
      <c r="A731" s="64" t="s">
        <v>892</v>
      </c>
      <c r="B731" s="54" t="s">
        <v>1338</v>
      </c>
      <c r="C731" s="54" t="s">
        <v>1339</v>
      </c>
      <c r="D731" s="54" t="s">
        <v>1232</v>
      </c>
      <c r="E731" s="54" t="s">
        <v>1204</v>
      </c>
      <c r="F731" s="19">
        <f>F732</f>
        <v>1607</v>
      </c>
      <c r="G731" s="19">
        <f t="shared" si="25"/>
        <v>0</v>
      </c>
      <c r="H731" s="19">
        <f>H732</f>
        <v>1607</v>
      </c>
    </row>
    <row r="732" spans="1:8" ht="42" customHeight="1">
      <c r="A732" s="36" t="s">
        <v>459</v>
      </c>
      <c r="B732" s="54" t="s">
        <v>1338</v>
      </c>
      <c r="C732" s="54" t="s">
        <v>1339</v>
      </c>
      <c r="D732" s="54" t="s">
        <v>1232</v>
      </c>
      <c r="E732" s="54" t="s">
        <v>641</v>
      </c>
      <c r="F732" s="19">
        <f>F733</f>
        <v>1607</v>
      </c>
      <c r="G732" s="19"/>
      <c r="H732" s="19">
        <f>H733</f>
        <v>1607</v>
      </c>
    </row>
    <row r="733" spans="1:8" ht="24">
      <c r="A733" s="18" t="s">
        <v>418</v>
      </c>
      <c r="B733" s="54" t="s">
        <v>1338</v>
      </c>
      <c r="C733" s="54" t="s">
        <v>1339</v>
      </c>
      <c r="D733" s="54" t="s">
        <v>1232</v>
      </c>
      <c r="E733" s="54" t="s">
        <v>419</v>
      </c>
      <c r="F733" s="20">
        <f>1704-97</f>
        <v>1607</v>
      </c>
      <c r="G733" s="19">
        <f t="shared" si="25"/>
        <v>0</v>
      </c>
      <c r="H733" s="20">
        <f>F733</f>
        <v>1607</v>
      </c>
    </row>
    <row r="734" spans="1:8" ht="24" hidden="1">
      <c r="A734" s="18" t="s">
        <v>417</v>
      </c>
      <c r="B734" s="54" t="s">
        <v>1338</v>
      </c>
      <c r="C734" s="54" t="s">
        <v>1339</v>
      </c>
      <c r="D734" s="54" t="s">
        <v>1232</v>
      </c>
      <c r="E734" s="54" t="s">
        <v>420</v>
      </c>
      <c r="F734" s="20">
        <v>0</v>
      </c>
      <c r="G734" s="19">
        <f t="shared" si="25"/>
        <v>0</v>
      </c>
      <c r="H734" s="20">
        <v>0</v>
      </c>
    </row>
    <row r="735" spans="1:8" ht="24">
      <c r="A735" s="18" t="s">
        <v>1049</v>
      </c>
      <c r="B735" s="54" t="s">
        <v>1338</v>
      </c>
      <c r="C735" s="54" t="s">
        <v>1339</v>
      </c>
      <c r="D735" s="54" t="s">
        <v>1050</v>
      </c>
      <c r="E735" s="54" t="s">
        <v>1204</v>
      </c>
      <c r="F735" s="19">
        <f>F736</f>
        <v>3847</v>
      </c>
      <c r="G735" s="19">
        <f t="shared" si="25"/>
        <v>3847</v>
      </c>
      <c r="H735" s="20"/>
    </row>
    <row r="736" spans="1:8" ht="24">
      <c r="A736" s="158" t="s">
        <v>486</v>
      </c>
      <c r="B736" s="54" t="s">
        <v>1338</v>
      </c>
      <c r="C736" s="54" t="s">
        <v>1339</v>
      </c>
      <c r="D736" s="54" t="s">
        <v>1050</v>
      </c>
      <c r="E736" s="54" t="s">
        <v>402</v>
      </c>
      <c r="F736" s="19">
        <f>F737</f>
        <v>3847</v>
      </c>
      <c r="G736" s="19">
        <f t="shared" si="25"/>
        <v>3847</v>
      </c>
      <c r="H736" s="20"/>
    </row>
    <row r="737" spans="1:8" ht="24">
      <c r="A737" s="18" t="s">
        <v>401</v>
      </c>
      <c r="B737" s="54" t="s">
        <v>1338</v>
      </c>
      <c r="C737" s="54" t="s">
        <v>1339</v>
      </c>
      <c r="D737" s="54" t="s">
        <v>1050</v>
      </c>
      <c r="E737" s="54" t="s">
        <v>1333</v>
      </c>
      <c r="F737" s="20">
        <f>3000+757+90</f>
        <v>3847</v>
      </c>
      <c r="G737" s="19">
        <f t="shared" si="25"/>
        <v>3847</v>
      </c>
      <c r="H737" s="20"/>
    </row>
    <row r="738" spans="1:8" ht="15" hidden="1">
      <c r="A738" s="18" t="s">
        <v>418</v>
      </c>
      <c r="B738" s="54" t="s">
        <v>1338</v>
      </c>
      <c r="C738" s="54" t="s">
        <v>1339</v>
      </c>
      <c r="D738" s="54" t="s">
        <v>1050</v>
      </c>
      <c r="E738" s="54" t="s">
        <v>234</v>
      </c>
      <c r="F738" s="20">
        <v>3000</v>
      </c>
      <c r="G738" s="19">
        <f t="shared" si="25"/>
        <v>3000</v>
      </c>
      <c r="H738" s="20"/>
    </row>
    <row r="739" spans="1:8" ht="36">
      <c r="A739" s="36" t="s">
        <v>459</v>
      </c>
      <c r="B739" s="54" t="s">
        <v>1338</v>
      </c>
      <c r="C739" s="54" t="s">
        <v>1339</v>
      </c>
      <c r="D739" s="54" t="s">
        <v>568</v>
      </c>
      <c r="E739" s="54" t="s">
        <v>641</v>
      </c>
      <c r="F739" s="19">
        <f>F740</f>
        <v>67413.7</v>
      </c>
      <c r="G739" s="19">
        <f t="shared" si="25"/>
        <v>67413.7</v>
      </c>
      <c r="H739" s="20"/>
    </row>
    <row r="740" spans="1:8" ht="24">
      <c r="A740" s="18" t="s">
        <v>390</v>
      </c>
      <c r="B740" s="54" t="s">
        <v>1338</v>
      </c>
      <c r="C740" s="54" t="s">
        <v>1339</v>
      </c>
      <c r="D740" s="54" t="s">
        <v>568</v>
      </c>
      <c r="E740" s="54" t="s">
        <v>419</v>
      </c>
      <c r="F740" s="20">
        <f>64903+400+610.8-0.1+1500</f>
        <v>67413.7</v>
      </c>
      <c r="G740" s="19">
        <f t="shared" si="25"/>
        <v>67413.7</v>
      </c>
      <c r="H740" s="20"/>
    </row>
    <row r="741" spans="1:8" ht="24">
      <c r="A741" s="18" t="s">
        <v>761</v>
      </c>
      <c r="B741" s="54" t="s">
        <v>1338</v>
      </c>
      <c r="C741" s="54" t="s">
        <v>1339</v>
      </c>
      <c r="D741" s="54" t="s">
        <v>568</v>
      </c>
      <c r="E741" s="54" t="s">
        <v>419</v>
      </c>
      <c r="F741" s="20">
        <f>4302+80</f>
        <v>4382</v>
      </c>
      <c r="G741" s="19">
        <f t="shared" si="25"/>
        <v>4382</v>
      </c>
      <c r="H741" s="20"/>
    </row>
    <row r="742" spans="1:8" ht="39" customHeight="1" hidden="1">
      <c r="A742" s="173" t="s">
        <v>831</v>
      </c>
      <c r="B742" s="54" t="s">
        <v>1338</v>
      </c>
      <c r="C742" s="54" t="s">
        <v>1339</v>
      </c>
      <c r="D742" s="54" t="s">
        <v>1231</v>
      </c>
      <c r="E742" s="54"/>
      <c r="F742" s="19">
        <f>F743</f>
        <v>0</v>
      </c>
      <c r="G742" s="19">
        <f t="shared" si="25"/>
        <v>0</v>
      </c>
      <c r="H742" s="20"/>
    </row>
    <row r="743" spans="1:8" ht="39" customHeight="1" hidden="1">
      <c r="A743" s="36" t="s">
        <v>459</v>
      </c>
      <c r="B743" s="54" t="s">
        <v>1338</v>
      </c>
      <c r="C743" s="54" t="s">
        <v>1339</v>
      </c>
      <c r="D743" s="54" t="s">
        <v>568</v>
      </c>
      <c r="E743" s="54" t="s">
        <v>641</v>
      </c>
      <c r="F743" s="19">
        <f>F744</f>
        <v>0</v>
      </c>
      <c r="G743" s="19">
        <f t="shared" si="25"/>
        <v>0</v>
      </c>
      <c r="H743" s="20"/>
    </row>
    <row r="744" spans="1:8" ht="15" hidden="1">
      <c r="A744" s="18" t="s">
        <v>515</v>
      </c>
      <c r="B744" s="54" t="s">
        <v>1338</v>
      </c>
      <c r="C744" s="54" t="s">
        <v>1339</v>
      </c>
      <c r="D744" s="54" t="s">
        <v>568</v>
      </c>
      <c r="E744" s="54" t="s">
        <v>244</v>
      </c>
      <c r="F744" s="20">
        <f>10189-10189</f>
        <v>0</v>
      </c>
      <c r="G744" s="19">
        <f t="shared" si="25"/>
        <v>0</v>
      </c>
      <c r="H744" s="20"/>
    </row>
    <row r="745" spans="1:8" ht="24" hidden="1">
      <c r="A745" s="18" t="s">
        <v>1457</v>
      </c>
      <c r="B745" s="54" t="s">
        <v>1338</v>
      </c>
      <c r="C745" s="54" t="s">
        <v>1339</v>
      </c>
      <c r="D745" s="54" t="s">
        <v>568</v>
      </c>
      <c r="E745" s="54" t="s">
        <v>245</v>
      </c>
      <c r="F745" s="20"/>
      <c r="G745" s="19">
        <f t="shared" si="25"/>
        <v>0</v>
      </c>
      <c r="H745" s="20"/>
    </row>
    <row r="746" spans="1:8" ht="24">
      <c r="A746" s="18" t="s">
        <v>713</v>
      </c>
      <c r="B746" s="54" t="s">
        <v>1338</v>
      </c>
      <c r="C746" s="54" t="s">
        <v>1339</v>
      </c>
      <c r="D746" s="54" t="s">
        <v>568</v>
      </c>
      <c r="E746" s="54" t="s">
        <v>419</v>
      </c>
      <c r="F746" s="20">
        <v>233</v>
      </c>
      <c r="G746" s="19">
        <f t="shared" si="25"/>
        <v>233</v>
      </c>
      <c r="H746" s="20"/>
    </row>
    <row r="747" spans="1:8" ht="15.75">
      <c r="A747" s="24" t="s">
        <v>870</v>
      </c>
      <c r="B747" s="54" t="s">
        <v>806</v>
      </c>
      <c r="C747" s="54" t="s">
        <v>1334</v>
      </c>
      <c r="D747" s="54"/>
      <c r="E747" s="54"/>
      <c r="F747" s="79">
        <f>F748+F800</f>
        <v>384828.69999999995</v>
      </c>
      <c r="G747" s="79">
        <f t="shared" si="25"/>
        <v>384828.69999999995</v>
      </c>
      <c r="H747" s="20"/>
    </row>
    <row r="748" spans="1:8" ht="15">
      <c r="A748" s="31" t="s">
        <v>389</v>
      </c>
      <c r="B748" s="17" t="s">
        <v>806</v>
      </c>
      <c r="C748" s="17" t="s">
        <v>184</v>
      </c>
      <c r="D748" s="17"/>
      <c r="E748" s="17"/>
      <c r="F748" s="19">
        <f>F749+F797</f>
        <v>277361.69999999995</v>
      </c>
      <c r="G748" s="19">
        <f t="shared" si="25"/>
        <v>277361.69999999995</v>
      </c>
      <c r="H748" s="19"/>
    </row>
    <row r="749" spans="1:8" ht="36">
      <c r="A749" s="183" t="s">
        <v>33</v>
      </c>
      <c r="B749" s="17" t="s">
        <v>806</v>
      </c>
      <c r="C749" s="17" t="s">
        <v>184</v>
      </c>
      <c r="D749" s="17" t="s">
        <v>197</v>
      </c>
      <c r="E749" s="17"/>
      <c r="F749" s="19">
        <f>F750+F754+F775+F782</f>
        <v>275961.69999999995</v>
      </c>
      <c r="G749" s="19">
        <f t="shared" si="25"/>
        <v>275961.69999999995</v>
      </c>
      <c r="H749" s="19"/>
    </row>
    <row r="750" spans="1:8" ht="84">
      <c r="A750" s="288" t="s">
        <v>1134</v>
      </c>
      <c r="B750" s="17" t="s">
        <v>806</v>
      </c>
      <c r="C750" s="17" t="s">
        <v>184</v>
      </c>
      <c r="D750" s="17" t="s">
        <v>1246</v>
      </c>
      <c r="E750" s="17"/>
      <c r="F750" s="19">
        <f>F751</f>
        <v>6260</v>
      </c>
      <c r="G750" s="19">
        <f t="shared" si="25"/>
        <v>6260</v>
      </c>
      <c r="H750" s="19"/>
    </row>
    <row r="751" spans="1:8" ht="36">
      <c r="A751" s="36" t="s">
        <v>459</v>
      </c>
      <c r="B751" s="17" t="s">
        <v>806</v>
      </c>
      <c r="C751" s="17" t="s">
        <v>184</v>
      </c>
      <c r="D751" s="17" t="s">
        <v>1246</v>
      </c>
      <c r="E751" s="17" t="s">
        <v>641</v>
      </c>
      <c r="F751" s="19">
        <f>F752+F753</f>
        <v>6260</v>
      </c>
      <c r="G751" s="19">
        <f t="shared" si="25"/>
        <v>6260</v>
      </c>
      <c r="H751" s="19"/>
    </row>
    <row r="752" spans="1:8" ht="24">
      <c r="A752" s="18" t="s">
        <v>418</v>
      </c>
      <c r="B752" s="17" t="s">
        <v>806</v>
      </c>
      <c r="C752" s="17" t="s">
        <v>184</v>
      </c>
      <c r="D752" s="17" t="s">
        <v>1246</v>
      </c>
      <c r="E752" s="17" t="s">
        <v>419</v>
      </c>
      <c r="F752" s="20">
        <v>5740</v>
      </c>
      <c r="G752" s="19">
        <f t="shared" si="25"/>
        <v>5740</v>
      </c>
      <c r="H752" s="19"/>
    </row>
    <row r="753" spans="1:8" ht="24">
      <c r="A753" s="18" t="s">
        <v>515</v>
      </c>
      <c r="B753" s="17" t="s">
        <v>806</v>
      </c>
      <c r="C753" s="17" t="s">
        <v>184</v>
      </c>
      <c r="D753" s="17" t="s">
        <v>1246</v>
      </c>
      <c r="E753" s="17" t="s">
        <v>244</v>
      </c>
      <c r="F753" s="20">
        <v>520</v>
      </c>
      <c r="G753" s="19">
        <f t="shared" si="25"/>
        <v>520</v>
      </c>
      <c r="H753" s="19"/>
    </row>
    <row r="754" spans="1:8" ht="36">
      <c r="A754" s="36" t="s">
        <v>459</v>
      </c>
      <c r="B754" s="17" t="s">
        <v>806</v>
      </c>
      <c r="C754" s="17" t="s">
        <v>184</v>
      </c>
      <c r="D754" s="17" t="s">
        <v>573</v>
      </c>
      <c r="E754" s="17" t="s">
        <v>641</v>
      </c>
      <c r="F754" s="19">
        <f>F755+F757+F758+F766</f>
        <v>222721.89999999997</v>
      </c>
      <c r="G754" s="19">
        <f>F754-H754</f>
        <v>222721.89999999997</v>
      </c>
      <c r="H754" s="19"/>
    </row>
    <row r="755" spans="1:8" ht="24">
      <c r="A755" s="18" t="s">
        <v>390</v>
      </c>
      <c r="B755" s="17" t="s">
        <v>806</v>
      </c>
      <c r="C755" s="17" t="s">
        <v>184</v>
      </c>
      <c r="D755" s="17" t="s">
        <v>299</v>
      </c>
      <c r="E755" s="17" t="s">
        <v>419</v>
      </c>
      <c r="F755" s="20">
        <f>169248+5485+209.1+156.3+195.8+160.4+399.9+955+0.1-2076.6+10-170+90+1300</f>
        <v>175962.99999999997</v>
      </c>
      <c r="G755" s="19">
        <f t="shared" si="25"/>
        <v>175962.99999999997</v>
      </c>
      <c r="H755" s="20"/>
    </row>
    <row r="756" spans="1:8" ht="42" customHeight="1" hidden="1">
      <c r="A756" s="18" t="s">
        <v>824</v>
      </c>
      <c r="B756" s="17" t="s">
        <v>806</v>
      </c>
      <c r="C756" s="17" t="s">
        <v>184</v>
      </c>
      <c r="D756" s="17" t="s">
        <v>299</v>
      </c>
      <c r="E756" s="17" t="s">
        <v>419</v>
      </c>
      <c r="F756" s="20">
        <f>209.1+156.3+195.8+160.4+399.9+955+0.1-2076.6</f>
        <v>0</v>
      </c>
      <c r="G756" s="19">
        <f t="shared" si="25"/>
        <v>0</v>
      </c>
      <c r="H756" s="20"/>
    </row>
    <row r="757" spans="1:8" ht="24">
      <c r="A757" s="18" t="s">
        <v>418</v>
      </c>
      <c r="B757" s="17" t="s">
        <v>806</v>
      </c>
      <c r="C757" s="17" t="s">
        <v>184</v>
      </c>
      <c r="D757" s="17" t="s">
        <v>541</v>
      </c>
      <c r="E757" s="17" t="s">
        <v>419</v>
      </c>
      <c r="F757" s="20">
        <f>3644+140-70</f>
        <v>3714</v>
      </c>
      <c r="G757" s="19">
        <f t="shared" si="25"/>
        <v>3714</v>
      </c>
      <c r="H757" s="20"/>
    </row>
    <row r="758" spans="1:8" ht="24">
      <c r="A758" s="18" t="s">
        <v>883</v>
      </c>
      <c r="B758" s="17" t="s">
        <v>806</v>
      </c>
      <c r="C758" s="17" t="s">
        <v>184</v>
      </c>
      <c r="D758" s="17" t="s">
        <v>299</v>
      </c>
      <c r="E758" s="17" t="s">
        <v>244</v>
      </c>
      <c r="F758" s="20">
        <f>23484+152.3+65.3+380+1450+816.7+1437+1000+162+1800+48+572.8+1452.3</f>
        <v>32820.4</v>
      </c>
      <c r="G758" s="19">
        <f aca="true" t="shared" si="26" ref="G758:G765">F758-H758</f>
        <v>32820.4</v>
      </c>
      <c r="H758" s="20"/>
    </row>
    <row r="759" spans="1:8" ht="48">
      <c r="A759" s="18" t="s">
        <v>103</v>
      </c>
      <c r="B759" s="17" t="s">
        <v>806</v>
      </c>
      <c r="C759" s="17" t="s">
        <v>184</v>
      </c>
      <c r="D759" s="17" t="s">
        <v>299</v>
      </c>
      <c r="E759" s="17" t="s">
        <v>244</v>
      </c>
      <c r="F759" s="20">
        <v>152.3</v>
      </c>
      <c r="G759" s="19">
        <f t="shared" si="26"/>
        <v>152.3</v>
      </c>
      <c r="H759" s="20"/>
    </row>
    <row r="760" spans="1:8" ht="36">
      <c r="A760" s="18" t="s">
        <v>102</v>
      </c>
      <c r="B760" s="17" t="s">
        <v>806</v>
      </c>
      <c r="C760" s="17" t="s">
        <v>184</v>
      </c>
      <c r="D760" s="17" t="s">
        <v>299</v>
      </c>
      <c r="E760" s="17" t="s">
        <v>244</v>
      </c>
      <c r="F760" s="20">
        <v>1450</v>
      </c>
      <c r="G760" s="19">
        <f t="shared" si="26"/>
        <v>1450</v>
      </c>
      <c r="H760" s="20"/>
    </row>
    <row r="761" spans="1:8" ht="36">
      <c r="A761" s="18" t="s">
        <v>101</v>
      </c>
      <c r="B761" s="17" t="s">
        <v>806</v>
      </c>
      <c r="C761" s="17" t="s">
        <v>184</v>
      </c>
      <c r="D761" s="17" t="s">
        <v>299</v>
      </c>
      <c r="E761" s="17" t="s">
        <v>244</v>
      </c>
      <c r="F761" s="20">
        <v>1437</v>
      </c>
      <c r="G761" s="19">
        <f t="shared" si="26"/>
        <v>1437</v>
      </c>
      <c r="H761" s="20"/>
    </row>
    <row r="762" spans="1:8" ht="36">
      <c r="A762" s="18" t="s">
        <v>100</v>
      </c>
      <c r="B762" s="17" t="s">
        <v>806</v>
      </c>
      <c r="C762" s="17" t="s">
        <v>184</v>
      </c>
      <c r="D762" s="17" t="s">
        <v>299</v>
      </c>
      <c r="E762" s="17" t="s">
        <v>244</v>
      </c>
      <c r="F762" s="20">
        <f>1000+1800</f>
        <v>2800</v>
      </c>
      <c r="G762" s="19">
        <f t="shared" si="26"/>
        <v>2800</v>
      </c>
      <c r="H762" s="20"/>
    </row>
    <row r="763" spans="1:8" ht="24">
      <c r="A763" s="18" t="s">
        <v>99</v>
      </c>
      <c r="B763" s="17" t="s">
        <v>806</v>
      </c>
      <c r="C763" s="17" t="s">
        <v>184</v>
      </c>
      <c r="D763" s="17" t="s">
        <v>299</v>
      </c>
      <c r="E763" s="17" t="s">
        <v>244</v>
      </c>
      <c r="F763" s="20">
        <v>162</v>
      </c>
      <c r="G763" s="19">
        <f t="shared" si="26"/>
        <v>162</v>
      </c>
      <c r="H763" s="20"/>
    </row>
    <row r="764" spans="1:8" ht="24">
      <c r="A764" s="18" t="s">
        <v>104</v>
      </c>
      <c r="B764" s="17" t="s">
        <v>806</v>
      </c>
      <c r="C764" s="17" t="s">
        <v>184</v>
      </c>
      <c r="D764" s="17" t="s">
        <v>299</v>
      </c>
      <c r="E764" s="17" t="s">
        <v>244</v>
      </c>
      <c r="F764" s="20">
        <f>48+98.4</f>
        <v>146.4</v>
      </c>
      <c r="G764" s="19">
        <f t="shared" si="26"/>
        <v>146.4</v>
      </c>
      <c r="H764" s="20"/>
    </row>
    <row r="765" spans="1:8" ht="36">
      <c r="A765" s="18" t="s">
        <v>105</v>
      </c>
      <c r="B765" s="17" t="s">
        <v>806</v>
      </c>
      <c r="C765" s="17" t="s">
        <v>184</v>
      </c>
      <c r="D765" s="17" t="s">
        <v>299</v>
      </c>
      <c r="E765" s="17" t="s">
        <v>244</v>
      </c>
      <c r="F765" s="20">
        <f>572.8-98.4</f>
        <v>474.4</v>
      </c>
      <c r="G765" s="19">
        <f t="shared" si="26"/>
        <v>474.4</v>
      </c>
      <c r="H765" s="20"/>
    </row>
    <row r="766" spans="1:8" ht="36">
      <c r="A766" s="36" t="s">
        <v>459</v>
      </c>
      <c r="B766" s="17" t="s">
        <v>806</v>
      </c>
      <c r="C766" s="17" t="s">
        <v>184</v>
      </c>
      <c r="D766" s="17" t="s">
        <v>542</v>
      </c>
      <c r="E766" s="17" t="s">
        <v>641</v>
      </c>
      <c r="F766" s="19">
        <f>F767+F773</f>
        <v>10224.5</v>
      </c>
      <c r="G766" s="19">
        <f t="shared" si="25"/>
        <v>10224.5</v>
      </c>
      <c r="H766" s="20"/>
    </row>
    <row r="767" spans="1:8" ht="24">
      <c r="A767" s="18" t="s">
        <v>762</v>
      </c>
      <c r="B767" s="17" t="s">
        <v>806</v>
      </c>
      <c r="C767" s="17" t="s">
        <v>184</v>
      </c>
      <c r="D767" s="17" t="s">
        <v>542</v>
      </c>
      <c r="E767" s="17" t="s">
        <v>419</v>
      </c>
      <c r="F767" s="19">
        <f>F768</f>
        <v>8478</v>
      </c>
      <c r="G767" s="19">
        <f t="shared" si="25"/>
        <v>8478</v>
      </c>
      <c r="H767" s="20"/>
    </row>
    <row r="768" spans="1:8" ht="24">
      <c r="A768" s="18" t="s">
        <v>1118</v>
      </c>
      <c r="B768" s="17" t="s">
        <v>806</v>
      </c>
      <c r="C768" s="17" t="s">
        <v>184</v>
      </c>
      <c r="D768" s="17" t="s">
        <v>542</v>
      </c>
      <c r="E768" s="17" t="s">
        <v>419</v>
      </c>
      <c r="F768" s="20">
        <f>5000-580+800+1338+350+1450+120</f>
        <v>8478</v>
      </c>
      <c r="G768" s="19">
        <f t="shared" si="25"/>
        <v>8478</v>
      </c>
      <c r="H768" s="20"/>
    </row>
    <row r="769" spans="1:8" ht="24" hidden="1">
      <c r="A769" s="161" t="s">
        <v>217</v>
      </c>
      <c r="B769" s="17" t="s">
        <v>806</v>
      </c>
      <c r="C769" s="17" t="s">
        <v>184</v>
      </c>
      <c r="D769" s="17" t="s">
        <v>1152</v>
      </c>
      <c r="E769" s="17" t="s">
        <v>88</v>
      </c>
      <c r="F769" s="20"/>
      <c r="G769" s="19">
        <f t="shared" si="25"/>
        <v>0</v>
      </c>
      <c r="H769" s="20"/>
    </row>
    <row r="770" spans="1:8" ht="24" hidden="1">
      <c r="A770" s="18" t="s">
        <v>1308</v>
      </c>
      <c r="B770" s="17" t="s">
        <v>806</v>
      </c>
      <c r="C770" s="17" t="s">
        <v>184</v>
      </c>
      <c r="D770" s="17" t="s">
        <v>299</v>
      </c>
      <c r="E770" s="17" t="s">
        <v>245</v>
      </c>
      <c r="F770" s="20">
        <v>23484</v>
      </c>
      <c r="G770" s="19">
        <f t="shared" si="25"/>
        <v>23484</v>
      </c>
      <c r="H770" s="20"/>
    </row>
    <row r="771" spans="1:8" ht="24" hidden="1">
      <c r="A771" s="18" t="s">
        <v>1054</v>
      </c>
      <c r="B771" s="17" t="s">
        <v>806</v>
      </c>
      <c r="C771" s="17" t="s">
        <v>184</v>
      </c>
      <c r="D771" s="17" t="s">
        <v>299</v>
      </c>
      <c r="E771" s="17" t="s">
        <v>1104</v>
      </c>
      <c r="F771" s="19">
        <f>F772</f>
        <v>0</v>
      </c>
      <c r="G771" s="19">
        <f t="shared" si="25"/>
        <v>0</v>
      </c>
      <c r="H771" s="20"/>
    </row>
    <row r="772" spans="1:8" ht="48" hidden="1">
      <c r="A772" s="18" t="s">
        <v>783</v>
      </c>
      <c r="B772" s="17" t="s">
        <v>806</v>
      </c>
      <c r="C772" s="17" t="s">
        <v>184</v>
      </c>
      <c r="D772" s="17" t="s">
        <v>299</v>
      </c>
      <c r="E772" s="17" t="s">
        <v>1104</v>
      </c>
      <c r="F772" s="20"/>
      <c r="G772" s="19">
        <f t="shared" si="25"/>
        <v>0</v>
      </c>
      <c r="H772" s="20"/>
    </row>
    <row r="773" spans="1:8" ht="24">
      <c r="A773" s="18" t="s">
        <v>883</v>
      </c>
      <c r="B773" s="17" t="s">
        <v>806</v>
      </c>
      <c r="C773" s="17" t="s">
        <v>184</v>
      </c>
      <c r="D773" s="17" t="s">
        <v>542</v>
      </c>
      <c r="E773" s="17" t="s">
        <v>244</v>
      </c>
      <c r="F773" s="19">
        <f>F774</f>
        <v>1746.5</v>
      </c>
      <c r="G773" s="19">
        <f t="shared" si="25"/>
        <v>1746.5</v>
      </c>
      <c r="H773" s="20"/>
    </row>
    <row r="774" spans="1:8" ht="24">
      <c r="A774" s="18" t="s">
        <v>1118</v>
      </c>
      <c r="B774" s="17" t="s">
        <v>806</v>
      </c>
      <c r="C774" s="17" t="s">
        <v>184</v>
      </c>
      <c r="D774" s="17" t="s">
        <v>542</v>
      </c>
      <c r="E774" s="17" t="s">
        <v>244</v>
      </c>
      <c r="F774" s="20">
        <f>580+451+162-162+715.5</f>
        <v>1746.5</v>
      </c>
      <c r="G774" s="19">
        <f t="shared" si="25"/>
        <v>1746.5</v>
      </c>
      <c r="H774" s="20"/>
    </row>
    <row r="775" spans="1:8" ht="36">
      <c r="A775" s="36" t="s">
        <v>1297</v>
      </c>
      <c r="B775" s="17" t="s">
        <v>806</v>
      </c>
      <c r="C775" s="17" t="s">
        <v>184</v>
      </c>
      <c r="D775" s="17" t="s">
        <v>1298</v>
      </c>
      <c r="E775" s="17"/>
      <c r="F775" s="19">
        <f>F776+F779</f>
        <v>43227</v>
      </c>
      <c r="G775" s="19">
        <f t="shared" si="25"/>
        <v>43227</v>
      </c>
      <c r="H775" s="19">
        <f>H780</f>
        <v>0</v>
      </c>
    </row>
    <row r="776" spans="1:8" ht="88.5" customHeight="1">
      <c r="A776" s="36" t="s">
        <v>1397</v>
      </c>
      <c r="B776" s="17" t="s">
        <v>806</v>
      </c>
      <c r="C776" s="17" t="s">
        <v>184</v>
      </c>
      <c r="D776" s="17" t="s">
        <v>1247</v>
      </c>
      <c r="E776" s="17"/>
      <c r="F776" s="19">
        <f>F777</f>
        <v>1820</v>
      </c>
      <c r="G776" s="19">
        <f t="shared" si="25"/>
        <v>1820</v>
      </c>
      <c r="H776" s="19"/>
    </row>
    <row r="777" spans="1:8" ht="36">
      <c r="A777" s="36" t="s">
        <v>459</v>
      </c>
      <c r="B777" s="17" t="s">
        <v>806</v>
      </c>
      <c r="C777" s="17" t="s">
        <v>184</v>
      </c>
      <c r="D777" s="17" t="s">
        <v>1247</v>
      </c>
      <c r="E777" s="17" t="s">
        <v>641</v>
      </c>
      <c r="F777" s="19">
        <f>F778</f>
        <v>1820</v>
      </c>
      <c r="G777" s="19">
        <f t="shared" si="25"/>
        <v>1820</v>
      </c>
      <c r="H777" s="19"/>
    </row>
    <row r="778" spans="1:8" ht="24">
      <c r="A778" s="18" t="s">
        <v>418</v>
      </c>
      <c r="B778" s="17" t="s">
        <v>806</v>
      </c>
      <c r="C778" s="17" t="s">
        <v>184</v>
      </c>
      <c r="D778" s="17" t="s">
        <v>1247</v>
      </c>
      <c r="E778" s="17" t="s">
        <v>419</v>
      </c>
      <c r="F778" s="20">
        <v>1820</v>
      </c>
      <c r="G778" s="19">
        <f t="shared" si="25"/>
        <v>1820</v>
      </c>
      <c r="H778" s="19"/>
    </row>
    <row r="779" spans="1:8" ht="36">
      <c r="A779" s="36" t="s">
        <v>459</v>
      </c>
      <c r="B779" s="17" t="s">
        <v>806</v>
      </c>
      <c r="C779" s="17" t="s">
        <v>184</v>
      </c>
      <c r="D779" s="17" t="s">
        <v>1062</v>
      </c>
      <c r="E779" s="17" t="s">
        <v>641</v>
      </c>
      <c r="F779" s="19">
        <f>F780</f>
        <v>41407</v>
      </c>
      <c r="G779" s="19">
        <f aca="true" t="shared" si="27" ref="G779:G801">F779-H779</f>
        <v>41407</v>
      </c>
      <c r="H779" s="19"/>
    </row>
    <row r="780" spans="1:8" ht="24">
      <c r="A780" s="18" t="s">
        <v>460</v>
      </c>
      <c r="B780" s="17" t="s">
        <v>806</v>
      </c>
      <c r="C780" s="17" t="s">
        <v>184</v>
      </c>
      <c r="D780" s="17" t="s">
        <v>1062</v>
      </c>
      <c r="E780" s="17" t="s">
        <v>419</v>
      </c>
      <c r="F780" s="20">
        <f>41447+1660-1700</f>
        <v>41407</v>
      </c>
      <c r="G780" s="19">
        <f t="shared" si="27"/>
        <v>41407</v>
      </c>
      <c r="H780" s="20"/>
    </row>
    <row r="781" spans="1:8" ht="36">
      <c r="A781" s="18" t="s">
        <v>95</v>
      </c>
      <c r="B781" s="17" t="s">
        <v>806</v>
      </c>
      <c r="C781" s="17" t="s">
        <v>184</v>
      </c>
      <c r="D781" s="17" t="s">
        <v>1062</v>
      </c>
      <c r="E781" s="17" t="s">
        <v>419</v>
      </c>
      <c r="F781" s="20">
        <v>140</v>
      </c>
      <c r="G781" s="19">
        <f t="shared" si="27"/>
        <v>140</v>
      </c>
      <c r="H781" s="20"/>
    </row>
    <row r="782" spans="1:8" ht="48">
      <c r="A782" s="18" t="s">
        <v>1351</v>
      </c>
      <c r="B782" s="17" t="s">
        <v>806</v>
      </c>
      <c r="C782" s="17" t="s">
        <v>184</v>
      </c>
      <c r="D782" s="17" t="s">
        <v>781</v>
      </c>
      <c r="E782" s="17" t="s">
        <v>1204</v>
      </c>
      <c r="F782" s="19">
        <f>F786+F783+F791+F794</f>
        <v>3752.8</v>
      </c>
      <c r="G782" s="19">
        <f t="shared" si="27"/>
        <v>3752.8</v>
      </c>
      <c r="H782" s="20"/>
    </row>
    <row r="783" spans="1:8" ht="36">
      <c r="A783" s="36" t="s">
        <v>270</v>
      </c>
      <c r="B783" s="17" t="s">
        <v>806</v>
      </c>
      <c r="C783" s="17" t="s">
        <v>184</v>
      </c>
      <c r="D783" s="17" t="s">
        <v>1352</v>
      </c>
      <c r="E783" s="17" t="s">
        <v>312</v>
      </c>
      <c r="F783" s="19">
        <f>F784</f>
        <v>939.2</v>
      </c>
      <c r="G783" s="19">
        <f t="shared" si="27"/>
        <v>939.2</v>
      </c>
      <c r="H783" s="20"/>
    </row>
    <row r="784" spans="1:8" ht="60">
      <c r="A784" s="36" t="s">
        <v>1005</v>
      </c>
      <c r="B784" s="17" t="s">
        <v>806</v>
      </c>
      <c r="C784" s="17" t="s">
        <v>184</v>
      </c>
      <c r="D784" s="17" t="s">
        <v>1352</v>
      </c>
      <c r="E784" s="17" t="s">
        <v>1174</v>
      </c>
      <c r="F784" s="19">
        <f>F785</f>
        <v>939.2</v>
      </c>
      <c r="G784" s="19">
        <f t="shared" si="27"/>
        <v>939.2</v>
      </c>
      <c r="H784" s="20"/>
    </row>
    <row r="785" spans="1:8" ht="48">
      <c r="A785" s="18" t="s">
        <v>108</v>
      </c>
      <c r="B785" s="17" t="s">
        <v>806</v>
      </c>
      <c r="C785" s="17" t="s">
        <v>184</v>
      </c>
      <c r="D785" s="17" t="s">
        <v>1352</v>
      </c>
      <c r="E785" s="17" t="s">
        <v>1174</v>
      </c>
      <c r="F785" s="20">
        <f>1470-620.8+90</f>
        <v>939.2</v>
      </c>
      <c r="G785" s="19">
        <f t="shared" si="27"/>
        <v>939.2</v>
      </c>
      <c r="H785" s="20"/>
    </row>
    <row r="786" spans="1:8" ht="36">
      <c r="A786" s="36" t="s">
        <v>459</v>
      </c>
      <c r="B786" s="17" t="s">
        <v>806</v>
      </c>
      <c r="C786" s="17" t="s">
        <v>184</v>
      </c>
      <c r="D786" s="17" t="s">
        <v>1352</v>
      </c>
      <c r="E786" s="17" t="s">
        <v>641</v>
      </c>
      <c r="F786" s="19">
        <f>F787</f>
        <v>2685.6</v>
      </c>
      <c r="G786" s="19">
        <f t="shared" si="27"/>
        <v>2685.6</v>
      </c>
      <c r="H786" s="20"/>
    </row>
    <row r="787" spans="1:8" ht="24">
      <c r="A787" s="18" t="s">
        <v>390</v>
      </c>
      <c r="B787" s="17" t="s">
        <v>806</v>
      </c>
      <c r="C787" s="17" t="s">
        <v>184</v>
      </c>
      <c r="D787" s="17" t="s">
        <v>1352</v>
      </c>
      <c r="E787" s="17" t="s">
        <v>419</v>
      </c>
      <c r="F787" s="19">
        <f>F788+F789+F790</f>
        <v>2685.6</v>
      </c>
      <c r="G787" s="19">
        <f t="shared" si="27"/>
        <v>2685.6</v>
      </c>
      <c r="H787" s="20"/>
    </row>
    <row r="788" spans="1:8" ht="36">
      <c r="A788" s="18" t="s">
        <v>824</v>
      </c>
      <c r="B788" s="17" t="s">
        <v>806</v>
      </c>
      <c r="C788" s="17" t="s">
        <v>184</v>
      </c>
      <c r="D788" s="17" t="s">
        <v>1352</v>
      </c>
      <c r="E788" s="17" t="s">
        <v>419</v>
      </c>
      <c r="F788" s="20">
        <f>209.1+156.3+195.8+160.4+399.9+955+0.1</f>
        <v>2076.6</v>
      </c>
      <c r="G788" s="19">
        <f t="shared" si="27"/>
        <v>2076.6</v>
      </c>
      <c r="H788" s="20"/>
    </row>
    <row r="789" spans="1:8" ht="24">
      <c r="A789" s="190" t="s">
        <v>900</v>
      </c>
      <c r="B789" s="17" t="s">
        <v>806</v>
      </c>
      <c r="C789" s="17" t="s">
        <v>184</v>
      </c>
      <c r="D789" s="17" t="s">
        <v>899</v>
      </c>
      <c r="E789" s="17" t="s">
        <v>419</v>
      </c>
      <c r="F789" s="20">
        <v>225</v>
      </c>
      <c r="G789" s="19">
        <f>F789</f>
        <v>225</v>
      </c>
      <c r="H789" s="20"/>
    </row>
    <row r="790" spans="1:8" ht="24">
      <c r="A790" s="190" t="s">
        <v>412</v>
      </c>
      <c r="B790" s="17" t="s">
        <v>806</v>
      </c>
      <c r="C790" s="17" t="s">
        <v>184</v>
      </c>
      <c r="D790" s="17" t="s">
        <v>899</v>
      </c>
      <c r="E790" s="17" t="s">
        <v>419</v>
      </c>
      <c r="F790" s="20">
        <f>136+248</f>
        <v>384</v>
      </c>
      <c r="G790" s="19">
        <f>F790-H790</f>
        <v>384</v>
      </c>
      <c r="H790" s="20"/>
    </row>
    <row r="791" spans="1:8" ht="36">
      <c r="A791" s="36" t="s">
        <v>459</v>
      </c>
      <c r="B791" s="17" t="s">
        <v>806</v>
      </c>
      <c r="C791" s="17" t="s">
        <v>184</v>
      </c>
      <c r="D791" s="17" t="s">
        <v>18</v>
      </c>
      <c r="E791" s="17" t="s">
        <v>641</v>
      </c>
      <c r="F791" s="19">
        <f>F792</f>
        <v>100</v>
      </c>
      <c r="G791" s="19">
        <f>F791-H791</f>
        <v>100</v>
      </c>
      <c r="H791" s="20"/>
    </row>
    <row r="792" spans="1:8" ht="24">
      <c r="A792" s="18" t="s">
        <v>390</v>
      </c>
      <c r="B792" s="17" t="s">
        <v>806</v>
      </c>
      <c r="C792" s="17" t="s">
        <v>184</v>
      </c>
      <c r="D792" s="17" t="s">
        <v>18</v>
      </c>
      <c r="E792" s="17" t="s">
        <v>419</v>
      </c>
      <c r="F792" s="20">
        <v>100</v>
      </c>
      <c r="G792" s="19">
        <f>F792-H792</f>
        <v>100</v>
      </c>
      <c r="H792" s="20"/>
    </row>
    <row r="793" spans="1:8" ht="24">
      <c r="A793" s="190" t="s">
        <v>900</v>
      </c>
      <c r="B793" s="17" t="s">
        <v>806</v>
      </c>
      <c r="C793" s="17" t="s">
        <v>184</v>
      </c>
      <c r="D793" s="17" t="s">
        <v>18</v>
      </c>
      <c r="E793" s="17" t="s">
        <v>419</v>
      </c>
      <c r="F793" s="20">
        <v>100</v>
      </c>
      <c r="G793" s="19">
        <f>F793-H793</f>
        <v>100</v>
      </c>
      <c r="H793" s="20"/>
    </row>
    <row r="794" spans="1:8" ht="36">
      <c r="A794" s="36" t="s">
        <v>459</v>
      </c>
      <c r="B794" s="17" t="s">
        <v>901</v>
      </c>
      <c r="C794" s="17" t="s">
        <v>184</v>
      </c>
      <c r="D794" s="17" t="s">
        <v>902</v>
      </c>
      <c r="E794" s="17" t="s">
        <v>641</v>
      </c>
      <c r="F794" s="19">
        <f>F795</f>
        <v>28</v>
      </c>
      <c r="G794" s="19">
        <f>G795</f>
        <v>28</v>
      </c>
      <c r="H794" s="20"/>
    </row>
    <row r="795" spans="1:8" ht="24">
      <c r="A795" s="18" t="s">
        <v>390</v>
      </c>
      <c r="B795" s="17" t="s">
        <v>806</v>
      </c>
      <c r="C795" s="17" t="s">
        <v>184</v>
      </c>
      <c r="D795" s="17" t="s">
        <v>902</v>
      </c>
      <c r="E795" s="17" t="s">
        <v>419</v>
      </c>
      <c r="F795" s="20">
        <f>F796</f>
        <v>28</v>
      </c>
      <c r="G795" s="19">
        <f>G796</f>
        <v>28</v>
      </c>
      <c r="H795" s="20"/>
    </row>
    <row r="796" spans="1:8" ht="24">
      <c r="A796" s="190" t="s">
        <v>900</v>
      </c>
      <c r="B796" s="17" t="s">
        <v>806</v>
      </c>
      <c r="C796" s="17" t="s">
        <v>184</v>
      </c>
      <c r="D796" s="17" t="s">
        <v>902</v>
      </c>
      <c r="E796" s="17" t="s">
        <v>419</v>
      </c>
      <c r="F796" s="20">
        <v>28</v>
      </c>
      <c r="G796" s="19">
        <f>F796</f>
        <v>28</v>
      </c>
      <c r="H796" s="20"/>
    </row>
    <row r="797" spans="1:8" ht="60">
      <c r="A797" s="36" t="s">
        <v>609</v>
      </c>
      <c r="B797" s="17" t="s">
        <v>806</v>
      </c>
      <c r="C797" s="17" t="s">
        <v>184</v>
      </c>
      <c r="D797" s="17" t="s">
        <v>1227</v>
      </c>
      <c r="E797" s="17"/>
      <c r="F797" s="19">
        <f>F798</f>
        <v>1400</v>
      </c>
      <c r="G797" s="19">
        <f t="shared" si="27"/>
        <v>1400</v>
      </c>
      <c r="H797" s="20"/>
    </row>
    <row r="798" spans="1:8" ht="36">
      <c r="A798" s="36" t="s">
        <v>459</v>
      </c>
      <c r="B798" s="17" t="s">
        <v>806</v>
      </c>
      <c r="C798" s="17" t="s">
        <v>184</v>
      </c>
      <c r="D798" s="17" t="s">
        <v>1227</v>
      </c>
      <c r="E798" s="17" t="s">
        <v>641</v>
      </c>
      <c r="F798" s="19">
        <f>F799</f>
        <v>1400</v>
      </c>
      <c r="G798" s="19">
        <f t="shared" si="27"/>
        <v>1400</v>
      </c>
      <c r="H798" s="20"/>
    </row>
    <row r="799" spans="1:8" ht="24">
      <c r="A799" s="18" t="s">
        <v>84</v>
      </c>
      <c r="B799" s="17" t="s">
        <v>806</v>
      </c>
      <c r="C799" s="17" t="s">
        <v>184</v>
      </c>
      <c r="D799" s="17" t="s">
        <v>1227</v>
      </c>
      <c r="E799" s="17" t="s">
        <v>419</v>
      </c>
      <c r="F799" s="20">
        <f>2400-1000</f>
        <v>1400</v>
      </c>
      <c r="G799" s="19">
        <f t="shared" si="27"/>
        <v>1400</v>
      </c>
      <c r="H799" s="20"/>
    </row>
    <row r="800" spans="1:8" ht="24">
      <c r="A800" s="31" t="s">
        <v>398</v>
      </c>
      <c r="B800" s="17" t="s">
        <v>806</v>
      </c>
      <c r="C800" s="17" t="s">
        <v>118</v>
      </c>
      <c r="D800" s="17"/>
      <c r="E800" s="17"/>
      <c r="F800" s="19">
        <f>F802+F814+F838</f>
        <v>107467</v>
      </c>
      <c r="G800" s="19">
        <f t="shared" si="27"/>
        <v>107467</v>
      </c>
      <c r="H800" s="19">
        <f>H802+H808+H813+H814</f>
        <v>0</v>
      </c>
    </row>
    <row r="801" spans="1:8" ht="36">
      <c r="A801" s="183" t="s">
        <v>33</v>
      </c>
      <c r="B801" s="17" t="s">
        <v>806</v>
      </c>
      <c r="C801" s="17" t="s">
        <v>118</v>
      </c>
      <c r="D801" s="17" t="s">
        <v>197</v>
      </c>
      <c r="E801" s="17"/>
      <c r="F801" s="19">
        <f>F802</f>
        <v>3554</v>
      </c>
      <c r="G801" s="19">
        <f t="shared" si="27"/>
        <v>3554</v>
      </c>
      <c r="H801" s="19"/>
    </row>
    <row r="802" spans="1:8" ht="24">
      <c r="A802" s="64" t="s">
        <v>647</v>
      </c>
      <c r="B802" s="17" t="s">
        <v>806</v>
      </c>
      <c r="C802" s="17" t="s">
        <v>118</v>
      </c>
      <c r="D802" s="17" t="s">
        <v>542</v>
      </c>
      <c r="E802" s="17" t="s">
        <v>1204</v>
      </c>
      <c r="F802" s="19">
        <f>SUM(F803:F803)</f>
        <v>3554</v>
      </c>
      <c r="G802" s="19">
        <f>SUM(G803:G803)</f>
        <v>3554</v>
      </c>
      <c r="H802" s="19">
        <f>SUM(H803:H803)</f>
        <v>0</v>
      </c>
    </row>
    <row r="803" spans="1:8" ht="24">
      <c r="A803" s="18" t="s">
        <v>648</v>
      </c>
      <c r="B803" s="17" t="s">
        <v>806</v>
      </c>
      <c r="C803" s="17" t="s">
        <v>118</v>
      </c>
      <c r="D803" s="17" t="s">
        <v>542</v>
      </c>
      <c r="E803" s="17" t="s">
        <v>1204</v>
      </c>
      <c r="F803" s="19">
        <f>F805+F807+F811</f>
        <v>3554</v>
      </c>
      <c r="G803" s="19">
        <f aca="true" t="shared" si="28" ref="G803:G813">F803-H803</f>
        <v>3554</v>
      </c>
      <c r="H803" s="19">
        <f>H805+H811</f>
        <v>0</v>
      </c>
    </row>
    <row r="804" spans="1:8" ht="24">
      <c r="A804" s="129" t="s">
        <v>486</v>
      </c>
      <c r="B804" s="17" t="s">
        <v>806</v>
      </c>
      <c r="C804" s="17" t="s">
        <v>118</v>
      </c>
      <c r="D804" s="17" t="s">
        <v>542</v>
      </c>
      <c r="E804" s="17" t="s">
        <v>402</v>
      </c>
      <c r="F804" s="19">
        <f>F805</f>
        <v>218</v>
      </c>
      <c r="G804" s="19">
        <f t="shared" si="28"/>
        <v>218</v>
      </c>
      <c r="H804" s="19"/>
    </row>
    <row r="805" spans="1:8" ht="24">
      <c r="A805" s="158" t="s">
        <v>827</v>
      </c>
      <c r="B805" s="17" t="s">
        <v>806</v>
      </c>
      <c r="C805" s="17" t="s">
        <v>118</v>
      </c>
      <c r="D805" s="17" t="s">
        <v>542</v>
      </c>
      <c r="E805" s="17" t="s">
        <v>1333</v>
      </c>
      <c r="F805" s="20">
        <f>218</f>
        <v>218</v>
      </c>
      <c r="G805" s="19">
        <f t="shared" si="28"/>
        <v>218</v>
      </c>
      <c r="H805" s="20"/>
    </row>
    <row r="806" spans="1:8" ht="24" hidden="1">
      <c r="A806" s="18" t="s">
        <v>353</v>
      </c>
      <c r="B806" s="17" t="s">
        <v>806</v>
      </c>
      <c r="C806" s="17" t="s">
        <v>118</v>
      </c>
      <c r="D806" s="17" t="s">
        <v>542</v>
      </c>
      <c r="E806" s="17" t="s">
        <v>234</v>
      </c>
      <c r="F806" s="20"/>
      <c r="G806" s="19">
        <f t="shared" si="28"/>
        <v>0</v>
      </c>
      <c r="H806" s="20"/>
    </row>
    <row r="807" spans="1:8" ht="39.75" customHeight="1">
      <c r="A807" s="158" t="s">
        <v>270</v>
      </c>
      <c r="B807" s="17" t="s">
        <v>806</v>
      </c>
      <c r="C807" s="17" t="s">
        <v>118</v>
      </c>
      <c r="D807" s="17" t="s">
        <v>542</v>
      </c>
      <c r="E807" s="17" t="s">
        <v>312</v>
      </c>
      <c r="F807" s="19">
        <f>F808</f>
        <v>3250</v>
      </c>
      <c r="G807" s="19">
        <f t="shared" si="28"/>
        <v>3250</v>
      </c>
      <c r="H807" s="19">
        <f>H808</f>
        <v>0</v>
      </c>
    </row>
    <row r="808" spans="1:8" ht="48">
      <c r="A808" s="18" t="s">
        <v>830</v>
      </c>
      <c r="B808" s="17" t="s">
        <v>806</v>
      </c>
      <c r="C808" s="17" t="s">
        <v>118</v>
      </c>
      <c r="D808" s="17" t="s">
        <v>542</v>
      </c>
      <c r="E808" s="17" t="s">
        <v>1299</v>
      </c>
      <c r="F808" s="20">
        <f>30000+3250+3921.8-33273.8-648</f>
        <v>3250</v>
      </c>
      <c r="G808" s="19">
        <f t="shared" si="28"/>
        <v>3250</v>
      </c>
      <c r="H808" s="20"/>
    </row>
    <row r="809" spans="1:8" ht="42.75" customHeight="1" hidden="1">
      <c r="A809" s="18" t="s">
        <v>893</v>
      </c>
      <c r="B809" s="17" t="s">
        <v>806</v>
      </c>
      <c r="C809" s="17" t="s">
        <v>118</v>
      </c>
      <c r="D809" s="17" t="s">
        <v>542</v>
      </c>
      <c r="E809" s="17" t="s">
        <v>1300</v>
      </c>
      <c r="F809" s="19">
        <f>F810</f>
        <v>30000</v>
      </c>
      <c r="G809" s="19">
        <f t="shared" si="28"/>
        <v>30000</v>
      </c>
      <c r="H809" s="20"/>
    </row>
    <row r="810" spans="1:8" ht="36" hidden="1">
      <c r="A810" s="18" t="s">
        <v>894</v>
      </c>
      <c r="B810" s="17" t="s">
        <v>806</v>
      </c>
      <c r="C810" s="17" t="s">
        <v>118</v>
      </c>
      <c r="D810" s="17" t="s">
        <v>542</v>
      </c>
      <c r="E810" s="17" t="s">
        <v>1300</v>
      </c>
      <c r="F810" s="20">
        <v>30000</v>
      </c>
      <c r="G810" s="19">
        <f t="shared" si="28"/>
        <v>30000</v>
      </c>
      <c r="H810" s="20"/>
    </row>
    <row r="811" spans="1:8" ht="24">
      <c r="A811" s="158" t="s">
        <v>1189</v>
      </c>
      <c r="B811" s="17" t="s">
        <v>806</v>
      </c>
      <c r="C811" s="17" t="s">
        <v>118</v>
      </c>
      <c r="D811" s="17" t="s">
        <v>542</v>
      </c>
      <c r="E811" s="17" t="s">
        <v>1190</v>
      </c>
      <c r="F811" s="19">
        <f>F812</f>
        <v>86</v>
      </c>
      <c r="G811" s="19">
        <f t="shared" si="28"/>
        <v>86</v>
      </c>
      <c r="H811" s="19">
        <f>H812</f>
        <v>0</v>
      </c>
    </row>
    <row r="812" spans="1:8" ht="24">
      <c r="A812" s="158" t="s">
        <v>1059</v>
      </c>
      <c r="B812" s="17" t="s">
        <v>806</v>
      </c>
      <c r="C812" s="17" t="s">
        <v>118</v>
      </c>
      <c r="D812" s="17" t="s">
        <v>542</v>
      </c>
      <c r="E812" s="17" t="s">
        <v>1060</v>
      </c>
      <c r="F812" s="20">
        <v>86</v>
      </c>
      <c r="G812" s="19">
        <f t="shared" si="28"/>
        <v>86</v>
      </c>
      <c r="H812" s="19">
        <f>H813</f>
        <v>0</v>
      </c>
    </row>
    <row r="813" spans="1:8" ht="24" hidden="1">
      <c r="A813" s="159" t="s">
        <v>819</v>
      </c>
      <c r="B813" s="17" t="s">
        <v>806</v>
      </c>
      <c r="C813" s="17" t="s">
        <v>118</v>
      </c>
      <c r="D813" s="17" t="s">
        <v>542</v>
      </c>
      <c r="E813" s="17" t="s">
        <v>543</v>
      </c>
      <c r="F813" s="20">
        <v>86</v>
      </c>
      <c r="G813" s="19">
        <f t="shared" si="28"/>
        <v>86</v>
      </c>
      <c r="H813" s="20"/>
    </row>
    <row r="814" spans="1:8" ht="48">
      <c r="A814" s="36" t="s">
        <v>895</v>
      </c>
      <c r="B814" s="17" t="s">
        <v>806</v>
      </c>
      <c r="C814" s="17" t="s">
        <v>118</v>
      </c>
      <c r="D814" s="17" t="s">
        <v>1301</v>
      </c>
      <c r="E814" s="17"/>
      <c r="F814" s="19">
        <f>F815+F818+F826+F830</f>
        <v>102913</v>
      </c>
      <c r="G814" s="19">
        <f>F814</f>
        <v>102913</v>
      </c>
      <c r="H814" s="19">
        <f>H818</f>
        <v>0</v>
      </c>
    </row>
    <row r="815" spans="1:8" ht="69.75" customHeight="1">
      <c r="A815" s="36" t="s">
        <v>829</v>
      </c>
      <c r="B815" s="17" t="s">
        <v>806</v>
      </c>
      <c r="C815" s="17" t="s">
        <v>118</v>
      </c>
      <c r="D815" s="17" t="s">
        <v>1248</v>
      </c>
      <c r="E815" s="17"/>
      <c r="F815" s="19">
        <f>F816</f>
        <v>566</v>
      </c>
      <c r="G815" s="19">
        <f>F815</f>
        <v>566</v>
      </c>
      <c r="H815" s="19"/>
    </row>
    <row r="816" spans="1:8" ht="36">
      <c r="A816" s="36" t="s">
        <v>459</v>
      </c>
      <c r="B816" s="17" t="s">
        <v>806</v>
      </c>
      <c r="C816" s="17" t="s">
        <v>118</v>
      </c>
      <c r="D816" s="17" t="s">
        <v>1248</v>
      </c>
      <c r="E816" s="17" t="s">
        <v>641</v>
      </c>
      <c r="F816" s="19">
        <f>F817</f>
        <v>566</v>
      </c>
      <c r="G816" s="19">
        <f>F816</f>
        <v>566</v>
      </c>
      <c r="H816" s="19"/>
    </row>
    <row r="817" spans="1:8" ht="24">
      <c r="A817" s="18" t="s">
        <v>418</v>
      </c>
      <c r="B817" s="17" t="s">
        <v>806</v>
      </c>
      <c r="C817" s="17" t="s">
        <v>118</v>
      </c>
      <c r="D817" s="17" t="s">
        <v>1248</v>
      </c>
      <c r="E817" s="17" t="s">
        <v>419</v>
      </c>
      <c r="F817" s="20">
        <v>566</v>
      </c>
      <c r="G817" s="19">
        <f>F817</f>
        <v>566</v>
      </c>
      <c r="H817" s="19"/>
    </row>
    <row r="818" spans="1:8" ht="24">
      <c r="A818" s="18" t="s">
        <v>633</v>
      </c>
      <c r="B818" s="17" t="s">
        <v>806</v>
      </c>
      <c r="C818" s="17" t="s">
        <v>118</v>
      </c>
      <c r="D818" s="17" t="s">
        <v>1302</v>
      </c>
      <c r="E818" s="17" t="s">
        <v>1204</v>
      </c>
      <c r="F818" s="19">
        <f>F819+F822</f>
        <v>13078</v>
      </c>
      <c r="G818" s="19">
        <f aca="true" t="shared" si="29" ref="G818:G829">F818-H818</f>
        <v>13078</v>
      </c>
      <c r="H818" s="19">
        <f>H820+H823</f>
        <v>0</v>
      </c>
    </row>
    <row r="819" spans="1:8" ht="72">
      <c r="A819" s="158" t="s">
        <v>485</v>
      </c>
      <c r="B819" s="17" t="s">
        <v>806</v>
      </c>
      <c r="C819" s="17" t="s">
        <v>118</v>
      </c>
      <c r="D819" s="17" t="s">
        <v>1302</v>
      </c>
      <c r="E819" s="17" t="s">
        <v>21</v>
      </c>
      <c r="F819" s="19">
        <f>F820</f>
        <v>11892</v>
      </c>
      <c r="G819" s="19">
        <f t="shared" si="29"/>
        <v>11892</v>
      </c>
      <c r="H819" s="19"/>
    </row>
    <row r="820" spans="1:8" ht="24">
      <c r="A820" s="18" t="s">
        <v>1306</v>
      </c>
      <c r="B820" s="17" t="s">
        <v>806</v>
      </c>
      <c r="C820" s="17" t="s">
        <v>118</v>
      </c>
      <c r="D820" s="17" t="s">
        <v>1302</v>
      </c>
      <c r="E820" s="17" t="s">
        <v>416</v>
      </c>
      <c r="F820" s="20">
        <f>14084-1535.3-463.7-90-13-90</f>
        <v>11892</v>
      </c>
      <c r="G820" s="19">
        <f t="shared" si="29"/>
        <v>11892</v>
      </c>
      <c r="H820" s="19">
        <f>H821</f>
        <v>0</v>
      </c>
    </row>
    <row r="821" spans="1:8" ht="15" hidden="1">
      <c r="A821" s="18" t="s">
        <v>812</v>
      </c>
      <c r="B821" s="17" t="s">
        <v>806</v>
      </c>
      <c r="C821" s="17" t="s">
        <v>118</v>
      </c>
      <c r="D821" s="17" t="s">
        <v>1302</v>
      </c>
      <c r="E821" s="17" t="s">
        <v>813</v>
      </c>
      <c r="F821" s="20">
        <v>14084</v>
      </c>
      <c r="G821" s="19">
        <f t="shared" si="29"/>
        <v>14084</v>
      </c>
      <c r="H821" s="20"/>
    </row>
    <row r="822" spans="1:8" ht="24">
      <c r="A822" s="129" t="s">
        <v>486</v>
      </c>
      <c r="B822" s="17" t="s">
        <v>806</v>
      </c>
      <c r="C822" s="17" t="s">
        <v>118</v>
      </c>
      <c r="D822" s="17" t="s">
        <v>1302</v>
      </c>
      <c r="E822" s="17" t="s">
        <v>402</v>
      </c>
      <c r="F822" s="19">
        <f>F823</f>
        <v>1186</v>
      </c>
      <c r="G822" s="19">
        <f t="shared" si="29"/>
        <v>1186</v>
      </c>
      <c r="H822" s="20"/>
    </row>
    <row r="823" spans="1:8" ht="24">
      <c r="A823" s="158" t="s">
        <v>827</v>
      </c>
      <c r="B823" s="17" t="s">
        <v>806</v>
      </c>
      <c r="C823" s="17" t="s">
        <v>118</v>
      </c>
      <c r="D823" s="17" t="s">
        <v>1302</v>
      </c>
      <c r="E823" s="17" t="s">
        <v>1333</v>
      </c>
      <c r="F823" s="20">
        <f>1173+13</f>
        <v>1186</v>
      </c>
      <c r="G823" s="19">
        <f t="shared" si="29"/>
        <v>1186</v>
      </c>
      <c r="H823" s="20"/>
    </row>
    <row r="824" spans="1:8" ht="36" hidden="1">
      <c r="A824" s="158" t="s">
        <v>1076</v>
      </c>
      <c r="B824" s="17" t="s">
        <v>806</v>
      </c>
      <c r="C824" s="17" t="s">
        <v>118</v>
      </c>
      <c r="D824" s="17" t="s">
        <v>1302</v>
      </c>
      <c r="E824" s="17" t="s">
        <v>516</v>
      </c>
      <c r="F824" s="20">
        <v>488</v>
      </c>
      <c r="G824" s="19">
        <f t="shared" si="29"/>
        <v>488</v>
      </c>
      <c r="H824" s="20"/>
    </row>
    <row r="825" spans="1:8" ht="24" hidden="1">
      <c r="A825" s="158" t="s">
        <v>233</v>
      </c>
      <c r="B825" s="17" t="s">
        <v>806</v>
      </c>
      <c r="C825" s="17" t="s">
        <v>118</v>
      </c>
      <c r="D825" s="17" t="s">
        <v>1302</v>
      </c>
      <c r="E825" s="17" t="s">
        <v>234</v>
      </c>
      <c r="F825" s="20">
        <v>685</v>
      </c>
      <c r="G825" s="19">
        <f t="shared" si="29"/>
        <v>685</v>
      </c>
      <c r="H825" s="20"/>
    </row>
    <row r="826" spans="1:8" ht="24">
      <c r="A826" s="159" t="s">
        <v>819</v>
      </c>
      <c r="B826" s="17" t="s">
        <v>806</v>
      </c>
      <c r="C826" s="17" t="s">
        <v>118</v>
      </c>
      <c r="D826" s="17" t="s">
        <v>1302</v>
      </c>
      <c r="E826" s="17" t="s">
        <v>1204</v>
      </c>
      <c r="F826" s="19">
        <f>F827</f>
        <v>176</v>
      </c>
      <c r="G826" s="19">
        <f t="shared" si="29"/>
        <v>176</v>
      </c>
      <c r="H826" s="19">
        <f>H827</f>
        <v>0</v>
      </c>
    </row>
    <row r="827" spans="1:8" ht="24">
      <c r="A827" s="158" t="s">
        <v>1189</v>
      </c>
      <c r="B827" s="17" t="s">
        <v>806</v>
      </c>
      <c r="C827" s="17" t="s">
        <v>118</v>
      </c>
      <c r="D827" s="17" t="s">
        <v>1302</v>
      </c>
      <c r="E827" s="17" t="s">
        <v>1190</v>
      </c>
      <c r="F827" s="19">
        <f>F828</f>
        <v>176</v>
      </c>
      <c r="G827" s="19">
        <f t="shared" si="29"/>
        <v>176</v>
      </c>
      <c r="H827" s="19">
        <f>H828</f>
        <v>0</v>
      </c>
    </row>
    <row r="828" spans="1:8" ht="24">
      <c r="A828" s="158" t="s">
        <v>1059</v>
      </c>
      <c r="B828" s="17" t="s">
        <v>806</v>
      </c>
      <c r="C828" s="17" t="s">
        <v>118</v>
      </c>
      <c r="D828" s="17" t="s">
        <v>1302</v>
      </c>
      <c r="E828" s="17" t="s">
        <v>1060</v>
      </c>
      <c r="F828" s="20">
        <v>176</v>
      </c>
      <c r="G828" s="19">
        <f t="shared" si="29"/>
        <v>176</v>
      </c>
      <c r="H828" s="19">
        <f>H829</f>
        <v>0</v>
      </c>
    </row>
    <row r="829" spans="1:8" ht="24" hidden="1">
      <c r="A829" s="159" t="s">
        <v>819</v>
      </c>
      <c r="B829" s="17" t="s">
        <v>806</v>
      </c>
      <c r="C829" s="17" t="s">
        <v>118</v>
      </c>
      <c r="D829" s="17" t="s">
        <v>1302</v>
      </c>
      <c r="E829" s="17" t="s">
        <v>543</v>
      </c>
      <c r="F829" s="20">
        <v>176</v>
      </c>
      <c r="G829" s="19">
        <f t="shared" si="29"/>
        <v>176</v>
      </c>
      <c r="H829" s="20"/>
    </row>
    <row r="830" spans="1:8" ht="60">
      <c r="A830" s="64" t="s">
        <v>348</v>
      </c>
      <c r="B830" s="17" t="s">
        <v>806</v>
      </c>
      <c r="C830" s="17" t="s">
        <v>118</v>
      </c>
      <c r="D830" s="17" t="s">
        <v>1303</v>
      </c>
      <c r="E830" s="17" t="s">
        <v>1204</v>
      </c>
      <c r="F830" s="19">
        <f>F831</f>
        <v>89093</v>
      </c>
      <c r="G830" s="19">
        <f>G831</f>
        <v>89093</v>
      </c>
      <c r="H830" s="19">
        <f>H831</f>
        <v>0</v>
      </c>
    </row>
    <row r="831" spans="1:8" ht="24">
      <c r="A831" s="18" t="s">
        <v>1347</v>
      </c>
      <c r="B831" s="17" t="s">
        <v>806</v>
      </c>
      <c r="C831" s="17" t="s">
        <v>118</v>
      </c>
      <c r="D831" s="17" t="s">
        <v>1303</v>
      </c>
      <c r="E831" s="17" t="s">
        <v>1204</v>
      </c>
      <c r="F831" s="19">
        <f>F832</f>
        <v>89093</v>
      </c>
      <c r="G831" s="19">
        <f aca="true" t="shared" si="30" ref="G831:G840">F831-H831</f>
        <v>89093</v>
      </c>
      <c r="H831" s="20"/>
    </row>
    <row r="832" spans="1:8" ht="36">
      <c r="A832" s="36" t="s">
        <v>459</v>
      </c>
      <c r="B832" s="17" t="s">
        <v>806</v>
      </c>
      <c r="C832" s="17" t="s">
        <v>118</v>
      </c>
      <c r="D832" s="17" t="s">
        <v>1303</v>
      </c>
      <c r="E832" s="17" t="s">
        <v>641</v>
      </c>
      <c r="F832" s="19">
        <f>F833</f>
        <v>89093</v>
      </c>
      <c r="G832" s="19">
        <f t="shared" si="30"/>
        <v>89093</v>
      </c>
      <c r="H832" s="20"/>
    </row>
    <row r="833" spans="1:8" ht="24">
      <c r="A833" s="18" t="s">
        <v>460</v>
      </c>
      <c r="B833" s="17" t="s">
        <v>806</v>
      </c>
      <c r="C833" s="17" t="s">
        <v>118</v>
      </c>
      <c r="D833" s="17" t="s">
        <v>1303</v>
      </c>
      <c r="E833" s="17" t="s">
        <v>419</v>
      </c>
      <c r="F833" s="20">
        <f>86916+1144+180+493+360</f>
        <v>89093</v>
      </c>
      <c r="G833" s="19">
        <f t="shared" si="30"/>
        <v>89093</v>
      </c>
      <c r="H833" s="20"/>
    </row>
    <row r="834" spans="1:8" ht="48">
      <c r="A834" s="18" t="s">
        <v>174</v>
      </c>
      <c r="B834" s="17" t="s">
        <v>806</v>
      </c>
      <c r="C834" s="17" t="s">
        <v>118</v>
      </c>
      <c r="D834" s="17" t="s">
        <v>1303</v>
      </c>
      <c r="E834" s="17" t="s">
        <v>419</v>
      </c>
      <c r="F834" s="20">
        <v>180</v>
      </c>
      <c r="G834" s="19">
        <f t="shared" si="30"/>
        <v>180</v>
      </c>
      <c r="H834" s="20"/>
    </row>
    <row r="835" spans="1:8" ht="15" hidden="1">
      <c r="A835" s="18" t="s">
        <v>195</v>
      </c>
      <c r="B835" s="17" t="s">
        <v>806</v>
      </c>
      <c r="C835" s="17" t="s">
        <v>118</v>
      </c>
      <c r="D835" s="17" t="s">
        <v>1303</v>
      </c>
      <c r="E835" s="17" t="s">
        <v>88</v>
      </c>
      <c r="F835" s="19">
        <f>F836+F837</f>
        <v>0</v>
      </c>
      <c r="G835" s="19">
        <f t="shared" si="30"/>
        <v>0</v>
      </c>
      <c r="H835" s="20"/>
    </row>
    <row r="836" spans="1:8" ht="24" hidden="1">
      <c r="A836" s="18" t="s">
        <v>818</v>
      </c>
      <c r="B836" s="17" t="s">
        <v>806</v>
      </c>
      <c r="C836" s="17" t="s">
        <v>118</v>
      </c>
      <c r="D836" s="17" t="s">
        <v>1303</v>
      </c>
      <c r="E836" s="17" t="s">
        <v>88</v>
      </c>
      <c r="F836" s="20"/>
      <c r="G836" s="19">
        <f t="shared" si="30"/>
        <v>0</v>
      </c>
      <c r="H836" s="20"/>
    </row>
    <row r="837" spans="1:8" ht="24" hidden="1">
      <c r="A837" s="18" t="s">
        <v>329</v>
      </c>
      <c r="B837" s="17" t="s">
        <v>806</v>
      </c>
      <c r="C837" s="17" t="s">
        <v>118</v>
      </c>
      <c r="D837" s="17" t="s">
        <v>1303</v>
      </c>
      <c r="E837" s="17" t="s">
        <v>88</v>
      </c>
      <c r="F837" s="20"/>
      <c r="G837" s="19">
        <f t="shared" si="30"/>
        <v>0</v>
      </c>
      <c r="H837" s="20"/>
    </row>
    <row r="838" spans="1:8" ht="60">
      <c r="A838" s="36" t="s">
        <v>609</v>
      </c>
      <c r="B838" s="17" t="s">
        <v>806</v>
      </c>
      <c r="C838" s="17" t="s">
        <v>118</v>
      </c>
      <c r="D838" s="17" t="s">
        <v>1227</v>
      </c>
      <c r="E838" s="17"/>
      <c r="F838" s="19">
        <f>F839</f>
        <v>1000</v>
      </c>
      <c r="G838" s="19">
        <f t="shared" si="30"/>
        <v>1000</v>
      </c>
      <c r="H838" s="20"/>
    </row>
    <row r="839" spans="1:8" ht="36">
      <c r="A839" s="36" t="s">
        <v>459</v>
      </c>
      <c r="B839" s="17" t="s">
        <v>806</v>
      </c>
      <c r="C839" s="17" t="s">
        <v>118</v>
      </c>
      <c r="D839" s="17" t="s">
        <v>1227</v>
      </c>
      <c r="E839" s="17" t="s">
        <v>641</v>
      </c>
      <c r="F839" s="19">
        <f>F840</f>
        <v>1000</v>
      </c>
      <c r="G839" s="19">
        <f t="shared" si="30"/>
        <v>1000</v>
      </c>
      <c r="H839" s="20"/>
    </row>
    <row r="840" spans="1:8" ht="24">
      <c r="A840" s="18" t="s">
        <v>84</v>
      </c>
      <c r="B840" s="17" t="s">
        <v>806</v>
      </c>
      <c r="C840" s="17" t="s">
        <v>118</v>
      </c>
      <c r="D840" s="17" t="s">
        <v>1227</v>
      </c>
      <c r="E840" s="17" t="s">
        <v>419</v>
      </c>
      <c r="F840" s="20">
        <v>1000</v>
      </c>
      <c r="G840" s="19">
        <f t="shared" si="30"/>
        <v>1000</v>
      </c>
      <c r="H840" s="20"/>
    </row>
    <row r="841" spans="1:8" ht="24.75" customHeight="1">
      <c r="A841" s="24" t="s">
        <v>26</v>
      </c>
      <c r="B841" s="23" t="s">
        <v>1339</v>
      </c>
      <c r="C841" s="23"/>
      <c r="D841" s="28"/>
      <c r="E841" s="28"/>
      <c r="F841" s="2">
        <f>F842+F863+F893+F899+F908+F918</f>
        <v>270429</v>
      </c>
      <c r="G841" s="2">
        <f>G842+G863+G893+G899+G908+G918</f>
        <v>166139</v>
      </c>
      <c r="H841" s="2">
        <f>H842+H863+H893+H899+H908+H918</f>
        <v>104290</v>
      </c>
    </row>
    <row r="842" spans="1:8" ht="14.25" customHeight="1">
      <c r="A842" s="31" t="s">
        <v>334</v>
      </c>
      <c r="B842" s="17" t="s">
        <v>1339</v>
      </c>
      <c r="C842" s="17" t="s">
        <v>184</v>
      </c>
      <c r="D842" s="39"/>
      <c r="E842" s="39"/>
      <c r="F842" s="19">
        <f>F843</f>
        <v>145046.1</v>
      </c>
      <c r="G842" s="19">
        <f>F842-H842</f>
        <v>105375.1</v>
      </c>
      <c r="H842" s="19">
        <f>H843</f>
        <v>39671</v>
      </c>
    </row>
    <row r="843" spans="1:8" ht="36">
      <c r="A843" s="37" t="s">
        <v>948</v>
      </c>
      <c r="B843" s="17" t="s">
        <v>1339</v>
      </c>
      <c r="C843" s="17" t="s">
        <v>184</v>
      </c>
      <c r="D843" s="17" t="s">
        <v>15</v>
      </c>
      <c r="E843" s="17"/>
      <c r="F843" s="19">
        <f>F844+F856</f>
        <v>145046.1</v>
      </c>
      <c r="G843" s="19">
        <f aca="true" t="shared" si="31" ref="G843:G893">F843-H843</f>
        <v>105375.1</v>
      </c>
      <c r="H843" s="19">
        <f>H844+H856</f>
        <v>39671</v>
      </c>
    </row>
    <row r="844" spans="1:8" ht="72">
      <c r="A844" s="64" t="s">
        <v>16</v>
      </c>
      <c r="B844" s="17" t="s">
        <v>1339</v>
      </c>
      <c r="C844" s="17" t="s">
        <v>184</v>
      </c>
      <c r="D844" s="17" t="s">
        <v>644</v>
      </c>
      <c r="E844" s="17"/>
      <c r="F844" s="19">
        <f>F845+F848+F852</f>
        <v>55360.4</v>
      </c>
      <c r="G844" s="19">
        <f t="shared" si="31"/>
        <v>15689.400000000001</v>
      </c>
      <c r="H844" s="19">
        <f>H846+H848+H852</f>
        <v>39671</v>
      </c>
    </row>
    <row r="845" spans="1:8" ht="36">
      <c r="A845" s="36" t="s">
        <v>459</v>
      </c>
      <c r="B845" s="17" t="s">
        <v>1339</v>
      </c>
      <c r="C845" s="17" t="s">
        <v>184</v>
      </c>
      <c r="D845" s="17" t="s">
        <v>645</v>
      </c>
      <c r="E845" s="17" t="s">
        <v>641</v>
      </c>
      <c r="F845" s="19">
        <f>F846</f>
        <v>15689.4</v>
      </c>
      <c r="G845" s="19">
        <f t="shared" si="31"/>
        <v>15689.4</v>
      </c>
      <c r="H845" s="19"/>
    </row>
    <row r="846" spans="1:8" ht="24">
      <c r="A846" s="18" t="s">
        <v>1103</v>
      </c>
      <c r="B846" s="17" t="s">
        <v>1339</v>
      </c>
      <c r="C846" s="17" t="s">
        <v>184</v>
      </c>
      <c r="D846" s="17" t="s">
        <v>645</v>
      </c>
      <c r="E846" s="17" t="s">
        <v>419</v>
      </c>
      <c r="F846" s="20">
        <f>15686-1166.6+1700-530</f>
        <v>15689.4</v>
      </c>
      <c r="G846" s="19">
        <f t="shared" si="31"/>
        <v>15689.4</v>
      </c>
      <c r="H846" s="19"/>
    </row>
    <row r="847" spans="1:8" ht="24" hidden="1">
      <c r="A847" s="18" t="s">
        <v>417</v>
      </c>
      <c r="B847" s="17" t="s">
        <v>1339</v>
      </c>
      <c r="C847" s="17" t="s">
        <v>184</v>
      </c>
      <c r="D847" s="17" t="s">
        <v>645</v>
      </c>
      <c r="E847" s="17" t="s">
        <v>420</v>
      </c>
      <c r="F847" s="66">
        <v>16301</v>
      </c>
      <c r="G847" s="19">
        <f t="shared" si="31"/>
        <v>16301</v>
      </c>
      <c r="H847" s="20"/>
    </row>
    <row r="848" spans="1:8" ht="36">
      <c r="A848" s="64" t="s">
        <v>643</v>
      </c>
      <c r="B848" s="17" t="s">
        <v>1339</v>
      </c>
      <c r="C848" s="17" t="s">
        <v>184</v>
      </c>
      <c r="D848" s="17" t="s">
        <v>646</v>
      </c>
      <c r="E848" s="17" t="s">
        <v>1204</v>
      </c>
      <c r="F848" s="184">
        <f>F850</f>
        <v>39156</v>
      </c>
      <c r="G848" s="19">
        <f t="shared" si="31"/>
        <v>0</v>
      </c>
      <c r="H848" s="184">
        <f>H850</f>
        <v>39156</v>
      </c>
    </row>
    <row r="849" spans="1:8" ht="36">
      <c r="A849" s="36" t="s">
        <v>459</v>
      </c>
      <c r="B849" s="17" t="s">
        <v>1339</v>
      </c>
      <c r="C849" s="17" t="s">
        <v>184</v>
      </c>
      <c r="D849" s="17" t="s">
        <v>646</v>
      </c>
      <c r="E849" s="17" t="s">
        <v>641</v>
      </c>
      <c r="F849" s="184">
        <f>F850</f>
        <v>39156</v>
      </c>
      <c r="G849" s="19"/>
      <c r="H849" s="19">
        <f>H850</f>
        <v>39156</v>
      </c>
    </row>
    <row r="850" spans="1:8" ht="24">
      <c r="A850" s="18" t="s">
        <v>1103</v>
      </c>
      <c r="B850" s="17" t="s">
        <v>1339</v>
      </c>
      <c r="C850" s="17" t="s">
        <v>184</v>
      </c>
      <c r="D850" s="17" t="s">
        <v>646</v>
      </c>
      <c r="E850" s="39" t="s">
        <v>419</v>
      </c>
      <c r="F850" s="20">
        <f>36196-2300-891+5151+1000-200+200</f>
        <v>39156</v>
      </c>
      <c r="G850" s="19">
        <f t="shared" si="31"/>
        <v>0</v>
      </c>
      <c r="H850" s="19">
        <f>33896-891+5151+1000-200+200</f>
        <v>39156</v>
      </c>
    </row>
    <row r="851" spans="1:8" ht="24" hidden="1">
      <c r="A851" s="18" t="s">
        <v>417</v>
      </c>
      <c r="B851" s="17" t="s">
        <v>1339</v>
      </c>
      <c r="C851" s="17" t="s">
        <v>184</v>
      </c>
      <c r="D851" s="17" t="s">
        <v>646</v>
      </c>
      <c r="E851" s="39" t="s">
        <v>420</v>
      </c>
      <c r="F851" s="20">
        <v>36196</v>
      </c>
      <c r="G851" s="19">
        <f t="shared" si="31"/>
        <v>0</v>
      </c>
      <c r="H851" s="19">
        <v>36196</v>
      </c>
    </row>
    <row r="852" spans="1:8" ht="67.5" customHeight="1">
      <c r="A852" s="18" t="s">
        <v>1111</v>
      </c>
      <c r="B852" s="17" t="s">
        <v>1339</v>
      </c>
      <c r="C852" s="17" t="s">
        <v>184</v>
      </c>
      <c r="D852" s="17" t="s">
        <v>1112</v>
      </c>
      <c r="E852" s="39"/>
      <c r="F852" s="19">
        <f>F853</f>
        <v>515</v>
      </c>
      <c r="G852" s="19">
        <f t="shared" si="31"/>
        <v>0</v>
      </c>
      <c r="H852" s="19">
        <f>H853</f>
        <v>515</v>
      </c>
    </row>
    <row r="853" spans="1:8" ht="39" customHeight="1">
      <c r="A853" s="36" t="s">
        <v>459</v>
      </c>
      <c r="B853" s="187" t="s">
        <v>1339</v>
      </c>
      <c r="C853" s="187" t="s">
        <v>184</v>
      </c>
      <c r="D853" s="187" t="s">
        <v>1112</v>
      </c>
      <c r="E853" s="188" t="s">
        <v>641</v>
      </c>
      <c r="F853" s="189">
        <f>F854</f>
        <v>515</v>
      </c>
      <c r="G853" s="19"/>
      <c r="H853" s="19">
        <f>H854</f>
        <v>515</v>
      </c>
    </row>
    <row r="854" spans="1:8" ht="22.5" customHeight="1">
      <c r="A854" s="186" t="s">
        <v>1103</v>
      </c>
      <c r="B854" s="187" t="s">
        <v>1339</v>
      </c>
      <c r="C854" s="187" t="s">
        <v>184</v>
      </c>
      <c r="D854" s="187" t="s">
        <v>1112</v>
      </c>
      <c r="E854" s="188" t="s">
        <v>419</v>
      </c>
      <c r="F854" s="236">
        <v>515</v>
      </c>
      <c r="G854" s="19">
        <f t="shared" si="31"/>
        <v>0</v>
      </c>
      <c r="H854" s="19">
        <f>H855</f>
        <v>515</v>
      </c>
    </row>
    <row r="855" spans="1:8" ht="28.5" customHeight="1" hidden="1">
      <c r="A855" s="18" t="s">
        <v>417</v>
      </c>
      <c r="B855" s="17" t="s">
        <v>1339</v>
      </c>
      <c r="C855" s="17" t="s">
        <v>184</v>
      </c>
      <c r="D855" s="17" t="s">
        <v>1112</v>
      </c>
      <c r="E855" s="39" t="s">
        <v>420</v>
      </c>
      <c r="F855" s="20">
        <v>515</v>
      </c>
      <c r="G855" s="185">
        <f t="shared" si="31"/>
        <v>0</v>
      </c>
      <c r="H855" s="20">
        <v>515</v>
      </c>
    </row>
    <row r="856" spans="1:8" ht="56.25" customHeight="1">
      <c r="A856" s="190" t="s">
        <v>1309</v>
      </c>
      <c r="B856" s="187" t="s">
        <v>1339</v>
      </c>
      <c r="C856" s="187" t="s">
        <v>184</v>
      </c>
      <c r="D856" s="54" t="s">
        <v>1310</v>
      </c>
      <c r="E856" s="191"/>
      <c r="F856" s="19">
        <f>F857</f>
        <v>89685.7</v>
      </c>
      <c r="G856" s="185">
        <f t="shared" si="31"/>
        <v>89685.7</v>
      </c>
      <c r="H856" s="19"/>
    </row>
    <row r="857" spans="1:8" ht="38.25" customHeight="1">
      <c r="A857" s="36" t="s">
        <v>459</v>
      </c>
      <c r="B857" s="54" t="s">
        <v>1311</v>
      </c>
      <c r="C857" s="54" t="s">
        <v>184</v>
      </c>
      <c r="D857" s="54" t="s">
        <v>1312</v>
      </c>
      <c r="E857" s="191" t="s">
        <v>641</v>
      </c>
      <c r="F857" s="19">
        <f>F858</f>
        <v>89685.7</v>
      </c>
      <c r="G857" s="185">
        <f t="shared" si="31"/>
        <v>89685.7</v>
      </c>
      <c r="H857" s="19"/>
    </row>
    <row r="858" spans="1:8" ht="22.5" customHeight="1">
      <c r="A858" s="186" t="s">
        <v>763</v>
      </c>
      <c r="B858" s="54" t="s">
        <v>1311</v>
      </c>
      <c r="C858" s="54" t="s">
        <v>184</v>
      </c>
      <c r="D858" s="54" t="s">
        <v>1312</v>
      </c>
      <c r="E858" s="191" t="s">
        <v>419</v>
      </c>
      <c r="F858" s="19">
        <f>F859+F860+F862+F861</f>
        <v>89685.7</v>
      </c>
      <c r="G858" s="185">
        <f t="shared" si="31"/>
        <v>89685.7</v>
      </c>
      <c r="H858" s="20"/>
    </row>
    <row r="859" spans="1:8" ht="171.75" customHeight="1">
      <c r="A859" s="190" t="s">
        <v>134</v>
      </c>
      <c r="B859" s="54" t="s">
        <v>1311</v>
      </c>
      <c r="C859" s="54" t="s">
        <v>184</v>
      </c>
      <c r="D859" s="54" t="s">
        <v>1312</v>
      </c>
      <c r="E859" s="191" t="s">
        <v>419</v>
      </c>
      <c r="F859" s="20">
        <f>68699.5+11568.1+232.9+2500+2610+621.9+532.2+699.8+1176.1+70.2-692.5+502.9-0.1+572.8-50-260-580</f>
        <v>88203.79999999999</v>
      </c>
      <c r="G859" s="185">
        <f t="shared" si="31"/>
        <v>88203.79999999999</v>
      </c>
      <c r="H859" s="19"/>
    </row>
    <row r="860" spans="1:8" ht="27.75" customHeight="1">
      <c r="A860" s="190" t="s">
        <v>1186</v>
      </c>
      <c r="B860" s="54" t="s">
        <v>1311</v>
      </c>
      <c r="C860" s="54" t="s">
        <v>184</v>
      </c>
      <c r="D860" s="54" t="s">
        <v>1312</v>
      </c>
      <c r="E860" s="191" t="s">
        <v>419</v>
      </c>
      <c r="F860" s="20">
        <v>494.3</v>
      </c>
      <c r="G860" s="185">
        <f t="shared" si="31"/>
        <v>494.3</v>
      </c>
      <c r="H860" s="19"/>
    </row>
    <row r="861" spans="1:8" ht="41.25" customHeight="1">
      <c r="A861" s="190" t="s">
        <v>509</v>
      </c>
      <c r="B861" s="54" t="s">
        <v>1339</v>
      </c>
      <c r="C861" s="54" t="s">
        <v>184</v>
      </c>
      <c r="D861" s="54" t="s">
        <v>1312</v>
      </c>
      <c r="E861" s="191" t="s">
        <v>419</v>
      </c>
      <c r="F861" s="20">
        <v>487.6</v>
      </c>
      <c r="G861" s="185">
        <f t="shared" si="31"/>
        <v>487.6</v>
      </c>
      <c r="H861" s="19"/>
    </row>
    <row r="862" spans="1:8" ht="50.25" customHeight="1">
      <c r="A862" s="190" t="s">
        <v>563</v>
      </c>
      <c r="B862" s="54" t="s">
        <v>1339</v>
      </c>
      <c r="C862" s="54" t="s">
        <v>184</v>
      </c>
      <c r="D862" s="54" t="s">
        <v>1312</v>
      </c>
      <c r="E862" s="191" t="s">
        <v>419</v>
      </c>
      <c r="F862" s="20">
        <v>500</v>
      </c>
      <c r="G862" s="185">
        <f t="shared" si="31"/>
        <v>500</v>
      </c>
      <c r="H862" s="19"/>
    </row>
    <row r="863" spans="1:8" ht="15">
      <c r="A863" s="78" t="s">
        <v>395</v>
      </c>
      <c r="B863" s="17" t="s">
        <v>1339</v>
      </c>
      <c r="C863" s="17" t="s">
        <v>1154</v>
      </c>
      <c r="D863" s="17"/>
      <c r="E863" s="17"/>
      <c r="F863" s="19">
        <f>F864+F890</f>
        <v>89149.2</v>
      </c>
      <c r="G863" s="19">
        <f t="shared" si="31"/>
        <v>40479.2</v>
      </c>
      <c r="H863" s="19">
        <f>H864</f>
        <v>48670</v>
      </c>
    </row>
    <row r="864" spans="1:8" ht="36">
      <c r="A864" s="37" t="s">
        <v>948</v>
      </c>
      <c r="B864" s="17" t="s">
        <v>1339</v>
      </c>
      <c r="C864" s="17" t="s">
        <v>1154</v>
      </c>
      <c r="D864" s="17" t="s">
        <v>15</v>
      </c>
      <c r="E864" s="17"/>
      <c r="F864" s="19">
        <f>F865+F878</f>
        <v>88599.2</v>
      </c>
      <c r="G864" s="19">
        <f t="shared" si="31"/>
        <v>39929.2</v>
      </c>
      <c r="H864" s="19">
        <f>H865+H878</f>
        <v>48670</v>
      </c>
    </row>
    <row r="865" spans="1:8" ht="36">
      <c r="A865" s="18" t="s">
        <v>1313</v>
      </c>
      <c r="B865" s="17" t="s">
        <v>1339</v>
      </c>
      <c r="C865" s="17" t="s">
        <v>1154</v>
      </c>
      <c r="D865" s="17" t="s">
        <v>17</v>
      </c>
      <c r="E865" s="17"/>
      <c r="F865" s="19">
        <f>F866+F870+F874</f>
        <v>63975.5</v>
      </c>
      <c r="G865" s="19">
        <f t="shared" si="31"/>
        <v>15305.5</v>
      </c>
      <c r="H865" s="19">
        <f>H867+H870+H874</f>
        <v>48670</v>
      </c>
    </row>
    <row r="866" spans="1:8" ht="36">
      <c r="A866" s="36" t="s">
        <v>459</v>
      </c>
      <c r="B866" s="17" t="s">
        <v>1339</v>
      </c>
      <c r="C866" s="17" t="s">
        <v>1154</v>
      </c>
      <c r="D866" s="17" t="s">
        <v>1314</v>
      </c>
      <c r="E866" s="17" t="s">
        <v>641</v>
      </c>
      <c r="F866" s="19">
        <f>F867+F869</f>
        <v>15305.5</v>
      </c>
      <c r="G866" s="19">
        <f t="shared" si="31"/>
        <v>15305.5</v>
      </c>
      <c r="H866" s="19"/>
    </row>
    <row r="867" spans="1:8" ht="24">
      <c r="A867" s="186" t="s">
        <v>460</v>
      </c>
      <c r="B867" s="17" t="s">
        <v>1339</v>
      </c>
      <c r="C867" s="17" t="s">
        <v>1154</v>
      </c>
      <c r="D867" s="17" t="s">
        <v>1314</v>
      </c>
      <c r="E867" s="17" t="s">
        <v>419</v>
      </c>
      <c r="F867" s="20">
        <f>9731+600-117-45-54-1700</f>
        <v>8415</v>
      </c>
      <c r="G867" s="19">
        <f t="shared" si="31"/>
        <v>8415</v>
      </c>
      <c r="H867" s="20"/>
    </row>
    <row r="868" spans="1:8" ht="36">
      <c r="A868" s="186" t="s">
        <v>387</v>
      </c>
      <c r="B868" s="17" t="s">
        <v>1339</v>
      </c>
      <c r="C868" s="17" t="s">
        <v>1154</v>
      </c>
      <c r="D868" s="17" t="s">
        <v>1314</v>
      </c>
      <c r="E868" s="17" t="s">
        <v>419</v>
      </c>
      <c r="F868" s="20">
        <f>600-54</f>
        <v>546</v>
      </c>
      <c r="G868" s="19">
        <f t="shared" si="31"/>
        <v>546</v>
      </c>
      <c r="H868" s="20"/>
    </row>
    <row r="869" spans="1:8" ht="24">
      <c r="A869" s="18" t="s">
        <v>243</v>
      </c>
      <c r="B869" s="17" t="s">
        <v>1339</v>
      </c>
      <c r="C869" s="17" t="s">
        <v>1154</v>
      </c>
      <c r="D869" s="17" t="s">
        <v>1314</v>
      </c>
      <c r="E869" s="17" t="s">
        <v>244</v>
      </c>
      <c r="F869" s="20">
        <f>5823+117+950.5</f>
        <v>6890.5</v>
      </c>
      <c r="G869" s="19">
        <f t="shared" si="31"/>
        <v>6890.5</v>
      </c>
      <c r="H869" s="20"/>
    </row>
    <row r="870" spans="1:8" ht="36">
      <c r="A870" s="18" t="s">
        <v>643</v>
      </c>
      <c r="B870" s="17" t="s">
        <v>1339</v>
      </c>
      <c r="C870" s="17" t="s">
        <v>1154</v>
      </c>
      <c r="D870" s="17" t="s">
        <v>1315</v>
      </c>
      <c r="E870" s="17" t="s">
        <v>1204</v>
      </c>
      <c r="F870" s="19">
        <f>F871</f>
        <v>24364</v>
      </c>
      <c r="G870" s="19">
        <f t="shared" si="31"/>
        <v>0</v>
      </c>
      <c r="H870" s="19">
        <f>H871</f>
        <v>24364</v>
      </c>
    </row>
    <row r="871" spans="1:8" ht="36">
      <c r="A871" s="36" t="s">
        <v>459</v>
      </c>
      <c r="B871" s="17" t="s">
        <v>1339</v>
      </c>
      <c r="C871" s="17" t="s">
        <v>1154</v>
      </c>
      <c r="D871" s="17" t="s">
        <v>1315</v>
      </c>
      <c r="E871" s="17" t="s">
        <v>641</v>
      </c>
      <c r="F871" s="19">
        <f>F872+F873</f>
        <v>24364</v>
      </c>
      <c r="G871" s="19"/>
      <c r="H871" s="19">
        <f>H872+H873</f>
        <v>24364</v>
      </c>
    </row>
    <row r="872" spans="1:8" ht="24">
      <c r="A872" s="18" t="s">
        <v>1103</v>
      </c>
      <c r="B872" s="17" t="s">
        <v>1339</v>
      </c>
      <c r="C872" s="17" t="s">
        <v>1154</v>
      </c>
      <c r="D872" s="17" t="s">
        <v>1315</v>
      </c>
      <c r="E872" s="17" t="s">
        <v>419</v>
      </c>
      <c r="F872" s="20">
        <f>32449-1159+891-7717-1000-200+200</f>
        <v>23464</v>
      </c>
      <c r="G872" s="19">
        <f t="shared" si="31"/>
        <v>0</v>
      </c>
      <c r="H872" s="20">
        <f>31290+891-7717-1000</f>
        <v>23464</v>
      </c>
    </row>
    <row r="873" spans="1:8" ht="24">
      <c r="A873" s="18" t="s">
        <v>243</v>
      </c>
      <c r="B873" s="17" t="s">
        <v>1339</v>
      </c>
      <c r="C873" s="17" t="s">
        <v>1154</v>
      </c>
      <c r="D873" s="17" t="s">
        <v>1315</v>
      </c>
      <c r="E873" s="17" t="s">
        <v>244</v>
      </c>
      <c r="F873" s="20">
        <v>900</v>
      </c>
      <c r="G873" s="19">
        <f t="shared" si="31"/>
        <v>0</v>
      </c>
      <c r="H873" s="20">
        <v>900</v>
      </c>
    </row>
    <row r="874" spans="1:8" ht="72">
      <c r="A874" s="18" t="s">
        <v>1111</v>
      </c>
      <c r="B874" s="17" t="s">
        <v>1339</v>
      </c>
      <c r="C874" s="17" t="s">
        <v>1154</v>
      </c>
      <c r="D874" s="17" t="s">
        <v>1316</v>
      </c>
      <c r="E874" s="17" t="s">
        <v>1204</v>
      </c>
      <c r="F874" s="19">
        <f>F875</f>
        <v>24306</v>
      </c>
      <c r="G874" s="19">
        <f t="shared" si="31"/>
        <v>0</v>
      </c>
      <c r="H874" s="19">
        <f>H875</f>
        <v>24306</v>
      </c>
    </row>
    <row r="875" spans="1:8" ht="36">
      <c r="A875" s="36" t="s">
        <v>459</v>
      </c>
      <c r="B875" s="17" t="s">
        <v>1339</v>
      </c>
      <c r="C875" s="17" t="s">
        <v>1154</v>
      </c>
      <c r="D875" s="17" t="s">
        <v>1316</v>
      </c>
      <c r="E875" s="17" t="s">
        <v>641</v>
      </c>
      <c r="F875" s="19">
        <f>F876</f>
        <v>24306</v>
      </c>
      <c r="G875" s="19"/>
      <c r="H875" s="19">
        <f>H876</f>
        <v>24306</v>
      </c>
    </row>
    <row r="876" spans="1:8" ht="24">
      <c r="A876" s="186" t="s">
        <v>1103</v>
      </c>
      <c r="B876" s="17" t="s">
        <v>1339</v>
      </c>
      <c r="C876" s="17" t="s">
        <v>1154</v>
      </c>
      <c r="D876" s="17" t="s">
        <v>1316</v>
      </c>
      <c r="E876" s="17" t="s">
        <v>419</v>
      </c>
      <c r="F876" s="20">
        <f>24085+221</f>
        <v>24306</v>
      </c>
      <c r="G876" s="19">
        <f t="shared" si="31"/>
        <v>0</v>
      </c>
      <c r="H876" s="20">
        <f>F876</f>
        <v>24306</v>
      </c>
    </row>
    <row r="877" spans="1:8" ht="24" hidden="1">
      <c r="A877" s="18" t="s">
        <v>417</v>
      </c>
      <c r="B877" s="17" t="s">
        <v>1339</v>
      </c>
      <c r="C877" s="17" t="s">
        <v>1154</v>
      </c>
      <c r="D877" s="17" t="s">
        <v>1316</v>
      </c>
      <c r="E877" s="17" t="s">
        <v>420</v>
      </c>
      <c r="F877" s="20">
        <v>24085</v>
      </c>
      <c r="G877" s="19">
        <f t="shared" si="31"/>
        <v>0</v>
      </c>
      <c r="H877" s="20">
        <v>24085</v>
      </c>
    </row>
    <row r="878" spans="1:8" ht="48">
      <c r="A878" s="18" t="s">
        <v>1309</v>
      </c>
      <c r="B878" s="17" t="s">
        <v>1339</v>
      </c>
      <c r="C878" s="17" t="s">
        <v>1154</v>
      </c>
      <c r="D878" s="17" t="s">
        <v>1310</v>
      </c>
      <c r="E878" s="17"/>
      <c r="F878" s="19">
        <f>F879</f>
        <v>24623.7</v>
      </c>
      <c r="G878" s="19">
        <f t="shared" si="31"/>
        <v>24623.7</v>
      </c>
      <c r="H878" s="19">
        <f>H880</f>
        <v>0</v>
      </c>
    </row>
    <row r="879" spans="1:8" ht="36">
      <c r="A879" s="36" t="s">
        <v>459</v>
      </c>
      <c r="B879" s="17" t="s">
        <v>1339</v>
      </c>
      <c r="C879" s="17" t="s">
        <v>1154</v>
      </c>
      <c r="D879" s="17" t="s">
        <v>1312</v>
      </c>
      <c r="E879" s="17" t="s">
        <v>641</v>
      </c>
      <c r="F879" s="19">
        <f>F880+F888</f>
        <v>24623.7</v>
      </c>
      <c r="G879" s="19">
        <f t="shared" si="31"/>
        <v>24623.7</v>
      </c>
      <c r="H879" s="19"/>
    </row>
    <row r="880" spans="1:8" ht="24">
      <c r="A880" s="18" t="s">
        <v>460</v>
      </c>
      <c r="B880" s="17" t="s">
        <v>1339</v>
      </c>
      <c r="C880" s="17" t="s">
        <v>1154</v>
      </c>
      <c r="D880" s="17" t="s">
        <v>1312</v>
      </c>
      <c r="E880" s="17" t="s">
        <v>419</v>
      </c>
      <c r="F880" s="19">
        <f>F881+F882+54+F884+F885+F886+F887</f>
        <v>24434.9</v>
      </c>
      <c r="G880" s="19">
        <f t="shared" si="31"/>
        <v>24434.9</v>
      </c>
      <c r="H880" s="20"/>
    </row>
    <row r="881" spans="1:8" ht="180">
      <c r="A881" s="190" t="s">
        <v>939</v>
      </c>
      <c r="B881" s="17" t="s">
        <v>1339</v>
      </c>
      <c r="C881" s="17" t="s">
        <v>1154</v>
      </c>
      <c r="D881" s="17" t="s">
        <v>1312</v>
      </c>
      <c r="E881" s="17" t="s">
        <v>419</v>
      </c>
      <c r="F881" s="20">
        <f>21318.5+305.9+4580.8+2141.1+111.3-1265.4-699.8-1364.8+118.5+0.2+50-30-1100</f>
        <v>24166.3</v>
      </c>
      <c r="G881" s="19">
        <f t="shared" si="31"/>
        <v>24166.3</v>
      </c>
      <c r="H881" s="20"/>
    </row>
    <row r="882" spans="1:8" ht="24" hidden="1">
      <c r="A882" s="190" t="s">
        <v>882</v>
      </c>
      <c r="B882" s="17" t="s">
        <v>1339</v>
      </c>
      <c r="C882" s="17" t="s">
        <v>1154</v>
      </c>
      <c r="D882" s="17" t="s">
        <v>1312</v>
      </c>
      <c r="E882" s="17" t="s">
        <v>419</v>
      </c>
      <c r="F882" s="20">
        <v>0</v>
      </c>
      <c r="G882" s="19">
        <f t="shared" si="31"/>
        <v>0</v>
      </c>
      <c r="H882" s="20"/>
    </row>
    <row r="883" spans="1:8" ht="36">
      <c r="A883" s="190" t="s">
        <v>771</v>
      </c>
      <c r="B883" s="17" t="s">
        <v>1339</v>
      </c>
      <c r="C883" s="17" t="s">
        <v>1154</v>
      </c>
      <c r="D883" s="17" t="s">
        <v>1312</v>
      </c>
      <c r="E883" s="17" t="s">
        <v>419</v>
      </c>
      <c r="F883" s="20">
        <v>54</v>
      </c>
      <c r="G883" s="19">
        <f t="shared" si="31"/>
        <v>54</v>
      </c>
      <c r="H883" s="20"/>
    </row>
    <row r="884" spans="1:8" ht="36">
      <c r="A884" s="190" t="s">
        <v>135</v>
      </c>
      <c r="B884" s="17" t="s">
        <v>1339</v>
      </c>
      <c r="C884" s="17" t="s">
        <v>1154</v>
      </c>
      <c r="D884" s="17" t="s">
        <v>1312</v>
      </c>
      <c r="E884" s="17" t="s">
        <v>419</v>
      </c>
      <c r="F884" s="20">
        <v>90.9</v>
      </c>
      <c r="G884" s="19">
        <f t="shared" si="31"/>
        <v>90.9</v>
      </c>
      <c r="H884" s="20"/>
    </row>
    <row r="885" spans="1:8" ht="48">
      <c r="A885" s="190" t="s">
        <v>175</v>
      </c>
      <c r="B885" s="17" t="s">
        <v>1339</v>
      </c>
      <c r="C885" s="17" t="s">
        <v>1154</v>
      </c>
      <c r="D885" s="17" t="s">
        <v>1312</v>
      </c>
      <c r="E885" s="17" t="s">
        <v>419</v>
      </c>
      <c r="F885" s="20">
        <v>98.7</v>
      </c>
      <c r="G885" s="19">
        <f t="shared" si="31"/>
        <v>98.7</v>
      </c>
      <c r="H885" s="20"/>
    </row>
    <row r="886" spans="1:8" ht="24" hidden="1">
      <c r="A886" s="190" t="s">
        <v>510</v>
      </c>
      <c r="B886" s="17" t="s">
        <v>1339</v>
      </c>
      <c r="C886" s="17" t="s">
        <v>1154</v>
      </c>
      <c r="D886" s="17" t="s">
        <v>1312</v>
      </c>
      <c r="E886" s="17" t="s">
        <v>419</v>
      </c>
      <c r="F886" s="20">
        <v>0</v>
      </c>
      <c r="G886" s="19">
        <f t="shared" si="31"/>
        <v>0</v>
      </c>
      <c r="H886" s="20"/>
    </row>
    <row r="887" spans="1:8" ht="24">
      <c r="A887" s="190" t="s">
        <v>236</v>
      </c>
      <c r="B887" s="17" t="s">
        <v>1339</v>
      </c>
      <c r="C887" s="17" t="s">
        <v>1154</v>
      </c>
      <c r="D887" s="17" t="s">
        <v>1312</v>
      </c>
      <c r="E887" s="17" t="s">
        <v>419</v>
      </c>
      <c r="F887" s="20">
        <v>25</v>
      </c>
      <c r="G887" s="19">
        <f t="shared" si="31"/>
        <v>25</v>
      </c>
      <c r="H887" s="20"/>
    </row>
    <row r="888" spans="1:8" ht="24">
      <c r="A888" s="190" t="s">
        <v>883</v>
      </c>
      <c r="B888" s="17" t="s">
        <v>1339</v>
      </c>
      <c r="C888" s="17" t="s">
        <v>1154</v>
      </c>
      <c r="D888" s="17" t="s">
        <v>1312</v>
      </c>
      <c r="E888" s="17" t="s">
        <v>244</v>
      </c>
      <c r="F888" s="20">
        <f>F889</f>
        <v>188.8</v>
      </c>
      <c r="G888" s="19">
        <f t="shared" si="31"/>
        <v>188.8</v>
      </c>
      <c r="H888" s="20"/>
    </row>
    <row r="889" spans="1:8" ht="24">
      <c r="A889" s="190" t="s">
        <v>236</v>
      </c>
      <c r="B889" s="17" t="s">
        <v>1339</v>
      </c>
      <c r="C889" s="17" t="s">
        <v>1154</v>
      </c>
      <c r="D889" s="17" t="s">
        <v>1312</v>
      </c>
      <c r="E889" s="17" t="s">
        <v>244</v>
      </c>
      <c r="F889" s="20">
        <v>188.8</v>
      </c>
      <c r="G889" s="19">
        <f t="shared" si="31"/>
        <v>188.8</v>
      </c>
      <c r="H889" s="20"/>
    </row>
    <row r="890" spans="1:8" ht="61.5" customHeight="1">
      <c r="A890" s="190" t="s">
        <v>609</v>
      </c>
      <c r="B890" s="17" t="s">
        <v>1339</v>
      </c>
      <c r="C890" s="17" t="s">
        <v>1154</v>
      </c>
      <c r="D890" s="17" t="s">
        <v>1227</v>
      </c>
      <c r="E890" s="17"/>
      <c r="F890" s="19">
        <f>F891</f>
        <v>550</v>
      </c>
      <c r="G890" s="19">
        <f t="shared" si="31"/>
        <v>550</v>
      </c>
      <c r="H890" s="20"/>
    </row>
    <row r="891" spans="1:8" ht="36">
      <c r="A891" s="36" t="s">
        <v>459</v>
      </c>
      <c r="B891" s="17" t="s">
        <v>1339</v>
      </c>
      <c r="C891" s="17" t="s">
        <v>1154</v>
      </c>
      <c r="D891" s="17" t="s">
        <v>1227</v>
      </c>
      <c r="E891" s="17" t="s">
        <v>641</v>
      </c>
      <c r="F891" s="19">
        <f>F892</f>
        <v>550</v>
      </c>
      <c r="G891" s="19">
        <f t="shared" si="31"/>
        <v>550</v>
      </c>
      <c r="H891" s="20"/>
    </row>
    <row r="892" spans="1:8" ht="24">
      <c r="A892" s="18" t="s">
        <v>1103</v>
      </c>
      <c r="B892" s="17" t="s">
        <v>1339</v>
      </c>
      <c r="C892" s="17" t="s">
        <v>1154</v>
      </c>
      <c r="D892" s="17" t="s">
        <v>1227</v>
      </c>
      <c r="E892" s="17" t="s">
        <v>419</v>
      </c>
      <c r="F892" s="20">
        <v>550</v>
      </c>
      <c r="G892" s="19">
        <f t="shared" si="31"/>
        <v>550</v>
      </c>
      <c r="H892" s="20"/>
    </row>
    <row r="893" spans="1:8" ht="24">
      <c r="A893" s="78" t="s">
        <v>576</v>
      </c>
      <c r="B893" s="17" t="s">
        <v>1339</v>
      </c>
      <c r="C893" s="17" t="s">
        <v>1340</v>
      </c>
      <c r="D893" s="17"/>
      <c r="E893" s="17"/>
      <c r="F893" s="19">
        <f>F894</f>
        <v>73</v>
      </c>
      <c r="G893" s="19">
        <f t="shared" si="31"/>
        <v>73</v>
      </c>
      <c r="H893" s="19">
        <f>H894</f>
        <v>0</v>
      </c>
    </row>
    <row r="894" spans="1:8" ht="36">
      <c r="A894" s="33" t="s">
        <v>948</v>
      </c>
      <c r="B894" s="54" t="s">
        <v>1339</v>
      </c>
      <c r="C894" s="54" t="s">
        <v>1340</v>
      </c>
      <c r="D894" s="54" t="s">
        <v>15</v>
      </c>
      <c r="E894" s="54"/>
      <c r="F894" s="19">
        <f>F895</f>
        <v>73</v>
      </c>
      <c r="G894" s="19">
        <f>G897</f>
        <v>73</v>
      </c>
      <c r="H894" s="19">
        <f>H897</f>
        <v>0</v>
      </c>
    </row>
    <row r="895" spans="1:8" ht="36">
      <c r="A895" s="36" t="s">
        <v>1313</v>
      </c>
      <c r="B895" s="54" t="s">
        <v>1339</v>
      </c>
      <c r="C895" s="54" t="s">
        <v>1340</v>
      </c>
      <c r="D895" s="54" t="s">
        <v>17</v>
      </c>
      <c r="E895" s="54"/>
      <c r="F895" s="19">
        <f>F896</f>
        <v>73</v>
      </c>
      <c r="G895" s="19">
        <f>G897</f>
        <v>73</v>
      </c>
      <c r="H895" s="19"/>
    </row>
    <row r="896" spans="1:8" ht="36">
      <c r="A896" s="36" t="s">
        <v>459</v>
      </c>
      <c r="B896" s="17" t="s">
        <v>1339</v>
      </c>
      <c r="C896" s="17" t="s">
        <v>1340</v>
      </c>
      <c r="D896" s="54" t="s">
        <v>227</v>
      </c>
      <c r="E896" s="54" t="s">
        <v>641</v>
      </c>
      <c r="F896" s="19">
        <f>F897</f>
        <v>73</v>
      </c>
      <c r="G896" s="19">
        <f aca="true" t="shared" si="32" ref="G896:G938">F896-H896</f>
        <v>73</v>
      </c>
      <c r="H896" s="19"/>
    </row>
    <row r="897" spans="1:8" ht="24">
      <c r="A897" s="18" t="s">
        <v>28</v>
      </c>
      <c r="B897" s="17" t="s">
        <v>1339</v>
      </c>
      <c r="C897" s="17" t="s">
        <v>1340</v>
      </c>
      <c r="D897" s="54" t="s">
        <v>227</v>
      </c>
      <c r="E897" s="17" t="s">
        <v>419</v>
      </c>
      <c r="F897" s="20">
        <f>35-7+45</f>
        <v>73</v>
      </c>
      <c r="G897" s="19">
        <f t="shared" si="32"/>
        <v>73</v>
      </c>
      <c r="H897" s="20"/>
    </row>
    <row r="898" spans="1:8" ht="24" hidden="1">
      <c r="A898" s="18" t="s">
        <v>417</v>
      </c>
      <c r="B898" s="17" t="s">
        <v>1339</v>
      </c>
      <c r="C898" s="17" t="s">
        <v>1340</v>
      </c>
      <c r="D898" s="54" t="s">
        <v>227</v>
      </c>
      <c r="E898" s="17" t="s">
        <v>420</v>
      </c>
      <c r="F898" s="20">
        <v>35</v>
      </c>
      <c r="G898" s="19">
        <f t="shared" si="32"/>
        <v>35</v>
      </c>
      <c r="H898" s="20"/>
    </row>
    <row r="899" spans="1:8" ht="15">
      <c r="A899" s="78" t="s">
        <v>283</v>
      </c>
      <c r="B899" s="17" t="s">
        <v>1339</v>
      </c>
      <c r="C899" s="17" t="s">
        <v>118</v>
      </c>
      <c r="D899" s="17"/>
      <c r="E899" s="17"/>
      <c r="F899" s="19">
        <f>F900</f>
        <v>5115.900000000001</v>
      </c>
      <c r="G899" s="19">
        <f t="shared" si="32"/>
        <v>5115.900000000001</v>
      </c>
      <c r="H899" s="19">
        <f>H900</f>
        <v>0</v>
      </c>
    </row>
    <row r="900" spans="1:8" ht="36">
      <c r="A900" s="33" t="s">
        <v>948</v>
      </c>
      <c r="B900" s="17" t="s">
        <v>1339</v>
      </c>
      <c r="C900" s="17" t="s">
        <v>118</v>
      </c>
      <c r="D900" s="17" t="s">
        <v>15</v>
      </c>
      <c r="E900" s="17"/>
      <c r="F900" s="19">
        <f>F901+F904</f>
        <v>5115.900000000001</v>
      </c>
      <c r="G900" s="19">
        <f t="shared" si="32"/>
        <v>5115.900000000001</v>
      </c>
      <c r="H900" s="19">
        <f>H901</f>
        <v>0</v>
      </c>
    </row>
    <row r="901" spans="1:8" ht="72">
      <c r="A901" s="36" t="s">
        <v>16</v>
      </c>
      <c r="B901" s="17" t="s">
        <v>1339</v>
      </c>
      <c r="C901" s="17" t="s">
        <v>118</v>
      </c>
      <c r="D901" s="17" t="s">
        <v>644</v>
      </c>
      <c r="E901" s="17"/>
      <c r="F901" s="19">
        <f>F902</f>
        <v>5027.1</v>
      </c>
      <c r="G901" s="19">
        <f t="shared" si="32"/>
        <v>5027.1</v>
      </c>
      <c r="H901" s="19">
        <f>H903</f>
        <v>0</v>
      </c>
    </row>
    <row r="902" spans="1:8" ht="36">
      <c r="A902" s="36" t="s">
        <v>459</v>
      </c>
      <c r="B902" s="17" t="s">
        <v>1339</v>
      </c>
      <c r="C902" s="17" t="s">
        <v>118</v>
      </c>
      <c r="D902" s="17" t="s">
        <v>228</v>
      </c>
      <c r="E902" s="17" t="s">
        <v>641</v>
      </c>
      <c r="F902" s="19">
        <f>F903</f>
        <v>5027.1</v>
      </c>
      <c r="G902" s="19">
        <f t="shared" si="32"/>
        <v>5027.1</v>
      </c>
      <c r="H902" s="19"/>
    </row>
    <row r="903" spans="1:8" ht="24">
      <c r="A903" s="18" t="s">
        <v>1103</v>
      </c>
      <c r="B903" s="17" t="s">
        <v>1339</v>
      </c>
      <c r="C903" s="17" t="s">
        <v>118</v>
      </c>
      <c r="D903" s="17" t="s">
        <v>228</v>
      </c>
      <c r="E903" s="17" t="s">
        <v>419</v>
      </c>
      <c r="F903" s="20">
        <f>471-101+797.1+3860</f>
        <v>5027.1</v>
      </c>
      <c r="G903" s="19">
        <f t="shared" si="32"/>
        <v>5027.1</v>
      </c>
      <c r="H903" s="20"/>
    </row>
    <row r="904" spans="1:8" ht="48">
      <c r="A904" s="18" t="s">
        <v>1309</v>
      </c>
      <c r="B904" s="17" t="s">
        <v>1339</v>
      </c>
      <c r="C904" s="17" t="s">
        <v>118</v>
      </c>
      <c r="D904" s="17" t="s">
        <v>1310</v>
      </c>
      <c r="E904" s="17"/>
      <c r="F904" s="19">
        <f>F905</f>
        <v>88.8</v>
      </c>
      <c r="G904" s="19">
        <f t="shared" si="32"/>
        <v>88.8</v>
      </c>
      <c r="H904" s="20"/>
    </row>
    <row r="905" spans="1:8" ht="36">
      <c r="A905" s="36" t="s">
        <v>459</v>
      </c>
      <c r="B905" s="17" t="s">
        <v>1339</v>
      </c>
      <c r="C905" s="17" t="s">
        <v>118</v>
      </c>
      <c r="D905" s="17" t="s">
        <v>1312</v>
      </c>
      <c r="E905" s="17" t="s">
        <v>641</v>
      </c>
      <c r="F905" s="19">
        <f>F906</f>
        <v>88.8</v>
      </c>
      <c r="G905" s="19">
        <f t="shared" si="32"/>
        <v>88.8</v>
      </c>
      <c r="H905" s="20"/>
    </row>
    <row r="906" spans="1:8" ht="24">
      <c r="A906" s="18" t="s">
        <v>460</v>
      </c>
      <c r="B906" s="17" t="s">
        <v>1339</v>
      </c>
      <c r="C906" s="17" t="s">
        <v>118</v>
      </c>
      <c r="D906" s="17" t="s">
        <v>1312</v>
      </c>
      <c r="E906" s="17" t="s">
        <v>419</v>
      </c>
      <c r="F906" s="19">
        <f>F907</f>
        <v>88.8</v>
      </c>
      <c r="G906" s="19">
        <f t="shared" si="32"/>
        <v>88.8</v>
      </c>
      <c r="H906" s="20"/>
    </row>
    <row r="907" spans="1:8" ht="72">
      <c r="A907" s="190" t="s">
        <v>881</v>
      </c>
      <c r="B907" s="17" t="s">
        <v>1339</v>
      </c>
      <c r="C907" s="17" t="s">
        <v>118</v>
      </c>
      <c r="D907" s="17" t="s">
        <v>1312</v>
      </c>
      <c r="E907" s="17" t="s">
        <v>419</v>
      </c>
      <c r="F907" s="20">
        <v>88.8</v>
      </c>
      <c r="G907" s="19">
        <f t="shared" si="32"/>
        <v>88.8</v>
      </c>
      <c r="H907" s="20"/>
    </row>
    <row r="908" spans="1:8" ht="36">
      <c r="A908" s="78" t="s">
        <v>1346</v>
      </c>
      <c r="B908" s="17" t="s">
        <v>1339</v>
      </c>
      <c r="C908" s="17" t="s">
        <v>1335</v>
      </c>
      <c r="D908" s="17"/>
      <c r="E908" s="17"/>
      <c r="F908" s="19">
        <f>F909</f>
        <v>11813</v>
      </c>
      <c r="G908" s="19">
        <f t="shared" si="32"/>
        <v>13</v>
      </c>
      <c r="H908" s="19">
        <f>H909</f>
        <v>11800</v>
      </c>
    </row>
    <row r="909" spans="1:8" ht="36">
      <c r="A909" s="33" t="s">
        <v>948</v>
      </c>
      <c r="B909" s="17" t="s">
        <v>1339</v>
      </c>
      <c r="C909" s="17" t="s">
        <v>1335</v>
      </c>
      <c r="D909" s="17" t="s">
        <v>15</v>
      </c>
      <c r="E909" s="17"/>
      <c r="F909" s="19">
        <f>F910</f>
        <v>11813</v>
      </c>
      <c r="G909" s="19">
        <f t="shared" si="32"/>
        <v>13</v>
      </c>
      <c r="H909" s="19">
        <f>H910</f>
        <v>11800</v>
      </c>
    </row>
    <row r="910" spans="1:8" ht="72">
      <c r="A910" s="36" t="s">
        <v>16</v>
      </c>
      <c r="B910" s="17" t="s">
        <v>1339</v>
      </c>
      <c r="C910" s="17" t="s">
        <v>1335</v>
      </c>
      <c r="D910" s="17" t="s">
        <v>644</v>
      </c>
      <c r="E910" s="17"/>
      <c r="F910" s="19">
        <f>F911+F914</f>
        <v>11813</v>
      </c>
      <c r="G910" s="19">
        <f t="shared" si="32"/>
        <v>13</v>
      </c>
      <c r="H910" s="19">
        <f>H911+H914</f>
        <v>11800</v>
      </c>
    </row>
    <row r="911" spans="1:8" ht="36">
      <c r="A911" s="36" t="s">
        <v>459</v>
      </c>
      <c r="B911" s="17" t="s">
        <v>1339</v>
      </c>
      <c r="C911" s="17" t="s">
        <v>1335</v>
      </c>
      <c r="D911" s="17" t="s">
        <v>229</v>
      </c>
      <c r="E911" s="17" t="s">
        <v>641</v>
      </c>
      <c r="F911" s="19">
        <f>F912</f>
        <v>13</v>
      </c>
      <c r="G911" s="19">
        <f t="shared" si="32"/>
        <v>13</v>
      </c>
      <c r="H911" s="19"/>
    </row>
    <row r="912" spans="1:8" ht="24">
      <c r="A912" s="18" t="s">
        <v>1103</v>
      </c>
      <c r="B912" s="17" t="s">
        <v>1339</v>
      </c>
      <c r="C912" s="17" t="s">
        <v>1335</v>
      </c>
      <c r="D912" s="17" t="s">
        <v>229</v>
      </c>
      <c r="E912" s="17" t="s">
        <v>419</v>
      </c>
      <c r="F912" s="20">
        <f>16-3</f>
        <v>13</v>
      </c>
      <c r="G912" s="19">
        <f t="shared" si="32"/>
        <v>13</v>
      </c>
      <c r="H912" s="20"/>
    </row>
    <row r="913" spans="1:8" ht="24" hidden="1">
      <c r="A913" s="18" t="s">
        <v>417</v>
      </c>
      <c r="B913" s="17" t="s">
        <v>1339</v>
      </c>
      <c r="C913" s="17" t="s">
        <v>1335</v>
      </c>
      <c r="D913" s="17" t="s">
        <v>229</v>
      </c>
      <c r="E913" s="17" t="s">
        <v>420</v>
      </c>
      <c r="F913" s="20">
        <v>16</v>
      </c>
      <c r="G913" s="19">
        <f t="shared" si="32"/>
        <v>16</v>
      </c>
      <c r="H913" s="20"/>
    </row>
    <row r="914" spans="1:8" ht="36">
      <c r="A914" s="36" t="s">
        <v>643</v>
      </c>
      <c r="B914" s="17" t="s">
        <v>1339</v>
      </c>
      <c r="C914" s="17" t="s">
        <v>1335</v>
      </c>
      <c r="D914" s="17" t="s">
        <v>646</v>
      </c>
      <c r="E914" s="17" t="s">
        <v>1204</v>
      </c>
      <c r="F914" s="19">
        <f>F915</f>
        <v>11800</v>
      </c>
      <c r="G914" s="19">
        <f t="shared" si="32"/>
        <v>0</v>
      </c>
      <c r="H914" s="19">
        <f>H915</f>
        <v>11800</v>
      </c>
    </row>
    <row r="915" spans="1:8" ht="36">
      <c r="A915" s="36" t="s">
        <v>459</v>
      </c>
      <c r="B915" s="17" t="s">
        <v>1339</v>
      </c>
      <c r="C915" s="17" t="s">
        <v>1335</v>
      </c>
      <c r="D915" s="17" t="s">
        <v>646</v>
      </c>
      <c r="E915" s="17" t="s">
        <v>641</v>
      </c>
      <c r="F915" s="19">
        <f>F916</f>
        <v>11800</v>
      </c>
      <c r="G915" s="19"/>
      <c r="H915" s="19">
        <f>H916</f>
        <v>11800</v>
      </c>
    </row>
    <row r="916" spans="1:8" ht="24">
      <c r="A916" s="18" t="s">
        <v>1103</v>
      </c>
      <c r="B916" s="17" t="s">
        <v>1339</v>
      </c>
      <c r="C916" s="17" t="s">
        <v>1335</v>
      </c>
      <c r="D916" s="17" t="s">
        <v>646</v>
      </c>
      <c r="E916" s="17" t="s">
        <v>419</v>
      </c>
      <c r="F916" s="20">
        <f>9234+2566</f>
        <v>11800</v>
      </c>
      <c r="G916" s="19">
        <f t="shared" si="32"/>
        <v>0</v>
      </c>
      <c r="H916" s="20">
        <f>9234+2566</f>
        <v>11800</v>
      </c>
    </row>
    <row r="917" spans="1:8" ht="24" hidden="1">
      <c r="A917" s="18" t="s">
        <v>417</v>
      </c>
      <c r="B917" s="17" t="s">
        <v>1339</v>
      </c>
      <c r="C917" s="17" t="s">
        <v>1335</v>
      </c>
      <c r="D917" s="17" t="s">
        <v>1315</v>
      </c>
      <c r="E917" s="17" t="s">
        <v>420</v>
      </c>
      <c r="F917" s="20">
        <v>9234</v>
      </c>
      <c r="G917" s="19">
        <f t="shared" si="32"/>
        <v>0</v>
      </c>
      <c r="H917" s="20">
        <v>9234</v>
      </c>
    </row>
    <row r="918" spans="1:8" ht="24">
      <c r="A918" s="40" t="s">
        <v>187</v>
      </c>
      <c r="B918" s="17" t="s">
        <v>1339</v>
      </c>
      <c r="C918" s="17" t="s">
        <v>1339</v>
      </c>
      <c r="D918" s="17"/>
      <c r="E918" s="17"/>
      <c r="F918" s="19">
        <f>F919</f>
        <v>19231.800000000003</v>
      </c>
      <c r="G918" s="19">
        <f t="shared" si="32"/>
        <v>15082.800000000003</v>
      </c>
      <c r="H918" s="19">
        <f>H919</f>
        <v>4149</v>
      </c>
    </row>
    <row r="919" spans="1:8" ht="36">
      <c r="A919" s="33" t="s">
        <v>948</v>
      </c>
      <c r="B919" s="17" t="s">
        <v>1339</v>
      </c>
      <c r="C919" s="17" t="s">
        <v>1339</v>
      </c>
      <c r="D919" s="17" t="s">
        <v>15</v>
      </c>
      <c r="E919" s="17"/>
      <c r="F919" s="19">
        <f>F920</f>
        <v>19231.800000000003</v>
      </c>
      <c r="G919" s="19">
        <f t="shared" si="32"/>
        <v>15082.800000000003</v>
      </c>
      <c r="H919" s="19">
        <f>H920</f>
        <v>4149</v>
      </c>
    </row>
    <row r="920" spans="1:8" ht="48">
      <c r="A920" s="29" t="s">
        <v>1265</v>
      </c>
      <c r="B920" s="17" t="s">
        <v>1339</v>
      </c>
      <c r="C920" s="17" t="s">
        <v>1339</v>
      </c>
      <c r="D920" s="17" t="s">
        <v>1266</v>
      </c>
      <c r="E920" s="17"/>
      <c r="F920" s="19">
        <f>F921+F928+F939+F935</f>
        <v>19231.800000000003</v>
      </c>
      <c r="G920" s="19">
        <f t="shared" si="32"/>
        <v>15082.800000000003</v>
      </c>
      <c r="H920" s="19">
        <f>H921+H928+H939+H935</f>
        <v>4149</v>
      </c>
    </row>
    <row r="921" spans="1:8" ht="36">
      <c r="A921" s="18" t="s">
        <v>1269</v>
      </c>
      <c r="B921" s="17" t="s">
        <v>1339</v>
      </c>
      <c r="C921" s="17" t="s">
        <v>1339</v>
      </c>
      <c r="D921" s="17" t="s">
        <v>121</v>
      </c>
      <c r="E921" s="17" t="s">
        <v>1204</v>
      </c>
      <c r="F921" s="19">
        <f>F922+F925</f>
        <v>4149</v>
      </c>
      <c r="G921" s="19">
        <f t="shared" si="32"/>
        <v>0</v>
      </c>
      <c r="H921" s="19">
        <f>H922+H925</f>
        <v>4149</v>
      </c>
    </row>
    <row r="922" spans="1:8" ht="72">
      <c r="A922" s="158" t="s">
        <v>485</v>
      </c>
      <c r="B922" s="17" t="s">
        <v>1339</v>
      </c>
      <c r="C922" s="17" t="s">
        <v>1339</v>
      </c>
      <c r="D922" s="17" t="s">
        <v>121</v>
      </c>
      <c r="E922" s="17" t="s">
        <v>21</v>
      </c>
      <c r="F922" s="19">
        <f>F923</f>
        <v>4149</v>
      </c>
      <c r="G922" s="19"/>
      <c r="H922" s="19">
        <f>H923</f>
        <v>4149</v>
      </c>
    </row>
    <row r="923" spans="1:8" ht="24">
      <c r="A923" s="18" t="s">
        <v>1306</v>
      </c>
      <c r="B923" s="17" t="s">
        <v>1339</v>
      </c>
      <c r="C923" s="17" t="s">
        <v>1339</v>
      </c>
      <c r="D923" s="17" t="s">
        <v>121</v>
      </c>
      <c r="E923" s="17" t="s">
        <v>416</v>
      </c>
      <c r="F923" s="20">
        <f>4125+24</f>
        <v>4149</v>
      </c>
      <c r="G923" s="19">
        <f t="shared" si="32"/>
        <v>0</v>
      </c>
      <c r="H923" s="19">
        <f>4125+24</f>
        <v>4149</v>
      </c>
    </row>
    <row r="924" spans="1:8" ht="15" hidden="1">
      <c r="A924" s="18" t="s">
        <v>812</v>
      </c>
      <c r="B924" s="17" t="s">
        <v>1339</v>
      </c>
      <c r="C924" s="17" t="s">
        <v>1339</v>
      </c>
      <c r="D924" s="17" t="s">
        <v>121</v>
      </c>
      <c r="E924" s="17" t="s">
        <v>813</v>
      </c>
      <c r="F924" s="20">
        <v>4125</v>
      </c>
      <c r="G924" s="19">
        <f t="shared" si="32"/>
        <v>0</v>
      </c>
      <c r="H924" s="20">
        <v>4125</v>
      </c>
    </row>
    <row r="925" spans="1:8" ht="24">
      <c r="A925" s="158" t="s">
        <v>486</v>
      </c>
      <c r="B925" s="17" t="s">
        <v>1339</v>
      </c>
      <c r="C925" s="17" t="s">
        <v>1339</v>
      </c>
      <c r="D925" s="17" t="s">
        <v>121</v>
      </c>
      <c r="E925" s="17" t="s">
        <v>402</v>
      </c>
      <c r="F925" s="19">
        <f>F926</f>
        <v>0</v>
      </c>
      <c r="G925" s="19"/>
      <c r="H925" s="19">
        <f>H926</f>
        <v>0</v>
      </c>
    </row>
    <row r="926" spans="1:8" ht="24">
      <c r="A926" s="158" t="s">
        <v>471</v>
      </c>
      <c r="B926" s="17" t="s">
        <v>1339</v>
      </c>
      <c r="C926" s="17" t="s">
        <v>1339</v>
      </c>
      <c r="D926" s="17" t="s">
        <v>121</v>
      </c>
      <c r="E926" s="17" t="s">
        <v>1333</v>
      </c>
      <c r="F926" s="20">
        <f>24-24</f>
        <v>0</v>
      </c>
      <c r="G926" s="19">
        <f t="shared" si="32"/>
        <v>0</v>
      </c>
      <c r="H926" s="20">
        <f>24-24</f>
        <v>0</v>
      </c>
    </row>
    <row r="927" spans="1:8" ht="24" hidden="1">
      <c r="A927" s="158" t="s">
        <v>233</v>
      </c>
      <c r="B927" s="17" t="s">
        <v>1339</v>
      </c>
      <c r="C927" s="17" t="s">
        <v>1339</v>
      </c>
      <c r="D927" s="17" t="s">
        <v>121</v>
      </c>
      <c r="E927" s="17" t="s">
        <v>234</v>
      </c>
      <c r="F927" s="20">
        <v>24</v>
      </c>
      <c r="G927" s="19">
        <f t="shared" si="32"/>
        <v>0</v>
      </c>
      <c r="H927" s="20">
        <v>24</v>
      </c>
    </row>
    <row r="928" spans="1:8" ht="24">
      <c r="A928" s="18" t="s">
        <v>633</v>
      </c>
      <c r="B928" s="17" t="s">
        <v>1339</v>
      </c>
      <c r="C928" s="17" t="s">
        <v>1339</v>
      </c>
      <c r="D928" s="17" t="s">
        <v>1267</v>
      </c>
      <c r="E928" s="17" t="s">
        <v>1204</v>
      </c>
      <c r="F928" s="19">
        <f>F929+F932</f>
        <v>10478.800000000001</v>
      </c>
      <c r="G928" s="19">
        <f t="shared" si="32"/>
        <v>10478.800000000001</v>
      </c>
      <c r="H928" s="19">
        <f>H930+H933</f>
        <v>0</v>
      </c>
    </row>
    <row r="929" spans="1:8" ht="72">
      <c r="A929" s="129" t="s">
        <v>485</v>
      </c>
      <c r="B929" s="17" t="s">
        <v>1339</v>
      </c>
      <c r="C929" s="17" t="s">
        <v>1339</v>
      </c>
      <c r="D929" s="17" t="s">
        <v>1267</v>
      </c>
      <c r="E929" s="17" t="s">
        <v>21</v>
      </c>
      <c r="F929" s="19">
        <f>F930</f>
        <v>9966.800000000001</v>
      </c>
      <c r="G929" s="19">
        <f t="shared" si="32"/>
        <v>9966.800000000001</v>
      </c>
      <c r="H929" s="19"/>
    </row>
    <row r="930" spans="1:8" ht="24">
      <c r="A930" s="18" t="s">
        <v>1306</v>
      </c>
      <c r="B930" s="17" t="s">
        <v>1339</v>
      </c>
      <c r="C930" s="17" t="s">
        <v>1339</v>
      </c>
      <c r="D930" s="17" t="s">
        <v>1267</v>
      </c>
      <c r="E930" s="17" t="s">
        <v>416</v>
      </c>
      <c r="F930" s="20">
        <f>8286+746.7+934.1</f>
        <v>9966.800000000001</v>
      </c>
      <c r="G930" s="19">
        <f t="shared" si="32"/>
        <v>9966.800000000001</v>
      </c>
      <c r="H930" s="19">
        <f>H931</f>
        <v>0</v>
      </c>
    </row>
    <row r="931" spans="1:8" ht="15" hidden="1">
      <c r="A931" s="18" t="s">
        <v>812</v>
      </c>
      <c r="B931" s="17" t="s">
        <v>1339</v>
      </c>
      <c r="C931" s="17" t="s">
        <v>1339</v>
      </c>
      <c r="D931" s="17" t="s">
        <v>1267</v>
      </c>
      <c r="E931" s="17" t="s">
        <v>813</v>
      </c>
      <c r="F931" s="20">
        <v>8286</v>
      </c>
      <c r="G931" s="19">
        <f t="shared" si="32"/>
        <v>8286</v>
      </c>
      <c r="H931" s="20"/>
    </row>
    <row r="932" spans="1:8" ht="24">
      <c r="A932" s="158" t="s">
        <v>486</v>
      </c>
      <c r="B932" s="17" t="s">
        <v>1339</v>
      </c>
      <c r="C932" s="17" t="s">
        <v>1339</v>
      </c>
      <c r="D932" s="17" t="s">
        <v>1267</v>
      </c>
      <c r="E932" s="17" t="s">
        <v>402</v>
      </c>
      <c r="F932" s="19">
        <f>F933</f>
        <v>512</v>
      </c>
      <c r="G932" s="19">
        <f t="shared" si="32"/>
        <v>512</v>
      </c>
      <c r="H932" s="20"/>
    </row>
    <row r="933" spans="1:8" ht="24">
      <c r="A933" s="158" t="s">
        <v>471</v>
      </c>
      <c r="B933" s="17" t="s">
        <v>1339</v>
      </c>
      <c r="C933" s="17" t="s">
        <v>1339</v>
      </c>
      <c r="D933" s="17" t="s">
        <v>1267</v>
      </c>
      <c r="E933" s="17" t="s">
        <v>1333</v>
      </c>
      <c r="F933" s="20">
        <f>531+6-60+35</f>
        <v>512</v>
      </c>
      <c r="G933" s="19">
        <f t="shared" si="32"/>
        <v>512</v>
      </c>
      <c r="H933" s="20"/>
    </row>
    <row r="934" spans="1:8" ht="24" hidden="1">
      <c r="A934" s="158" t="s">
        <v>233</v>
      </c>
      <c r="B934" s="17" t="s">
        <v>1339</v>
      </c>
      <c r="C934" s="17" t="s">
        <v>1339</v>
      </c>
      <c r="D934" s="17" t="s">
        <v>1267</v>
      </c>
      <c r="E934" s="17" t="s">
        <v>234</v>
      </c>
      <c r="F934" s="20">
        <v>531</v>
      </c>
      <c r="G934" s="19">
        <f t="shared" si="32"/>
        <v>531</v>
      </c>
      <c r="H934" s="20"/>
    </row>
    <row r="935" spans="1:8" ht="24">
      <c r="A935" s="159" t="s">
        <v>819</v>
      </c>
      <c r="B935" s="17" t="s">
        <v>1339</v>
      </c>
      <c r="C935" s="17" t="s">
        <v>1339</v>
      </c>
      <c r="D935" s="17" t="s">
        <v>1268</v>
      </c>
      <c r="E935" s="39" t="s">
        <v>1204</v>
      </c>
      <c r="F935" s="19">
        <f>F936</f>
        <v>165</v>
      </c>
      <c r="G935" s="19">
        <f t="shared" si="32"/>
        <v>165</v>
      </c>
      <c r="H935" s="19">
        <f>H936</f>
        <v>0</v>
      </c>
    </row>
    <row r="936" spans="1:8" ht="24">
      <c r="A936" s="158" t="s">
        <v>1189</v>
      </c>
      <c r="B936" s="17" t="s">
        <v>1339</v>
      </c>
      <c r="C936" s="17" t="s">
        <v>1339</v>
      </c>
      <c r="D936" s="17" t="s">
        <v>1268</v>
      </c>
      <c r="E936" s="39" t="s">
        <v>1190</v>
      </c>
      <c r="F936" s="19">
        <f>F937</f>
        <v>165</v>
      </c>
      <c r="G936" s="19">
        <f t="shared" si="32"/>
        <v>165</v>
      </c>
      <c r="H936" s="19">
        <f>H937</f>
        <v>0</v>
      </c>
    </row>
    <row r="937" spans="1:8" ht="24">
      <c r="A937" s="158" t="s">
        <v>1059</v>
      </c>
      <c r="B937" s="17" t="s">
        <v>1339</v>
      </c>
      <c r="C937" s="17" t="s">
        <v>1339</v>
      </c>
      <c r="D937" s="17" t="s">
        <v>1268</v>
      </c>
      <c r="E937" s="39" t="s">
        <v>1060</v>
      </c>
      <c r="F937" s="20">
        <f>20+60+85</f>
        <v>165</v>
      </c>
      <c r="G937" s="19">
        <f t="shared" si="32"/>
        <v>165</v>
      </c>
      <c r="H937" s="19">
        <f>H938</f>
        <v>0</v>
      </c>
    </row>
    <row r="938" spans="1:8" ht="24" hidden="1">
      <c r="A938" s="159" t="s">
        <v>819</v>
      </c>
      <c r="B938" s="17" t="s">
        <v>1339</v>
      </c>
      <c r="C938" s="17" t="s">
        <v>1339</v>
      </c>
      <c r="D938" s="17" t="s">
        <v>1268</v>
      </c>
      <c r="E938" s="39" t="s">
        <v>543</v>
      </c>
      <c r="F938" s="20">
        <v>20</v>
      </c>
      <c r="G938" s="19">
        <f t="shared" si="32"/>
        <v>20</v>
      </c>
      <c r="H938" s="20"/>
    </row>
    <row r="939" spans="1:8" ht="25.5" customHeight="1">
      <c r="A939" s="29" t="s">
        <v>1270</v>
      </c>
      <c r="B939" s="17" t="s">
        <v>1339</v>
      </c>
      <c r="C939" s="17" t="s">
        <v>1339</v>
      </c>
      <c r="D939" s="17" t="s">
        <v>1271</v>
      </c>
      <c r="E939" s="39" t="s">
        <v>1204</v>
      </c>
      <c r="F939" s="19">
        <f>F941</f>
        <v>4439</v>
      </c>
      <c r="G939" s="19">
        <f>F939-H939</f>
        <v>4439</v>
      </c>
      <c r="H939" s="20"/>
    </row>
    <row r="940" spans="1:8" ht="36.75" customHeight="1">
      <c r="A940" s="36" t="s">
        <v>459</v>
      </c>
      <c r="B940" s="17" t="s">
        <v>1339</v>
      </c>
      <c r="C940" s="17" t="s">
        <v>1339</v>
      </c>
      <c r="D940" s="17" t="s">
        <v>1271</v>
      </c>
      <c r="E940" s="39" t="s">
        <v>641</v>
      </c>
      <c r="F940" s="19">
        <f>F941</f>
        <v>4439</v>
      </c>
      <c r="G940" s="19">
        <f>F940-H940</f>
        <v>4439</v>
      </c>
      <c r="H940" s="20"/>
    </row>
    <row r="941" spans="1:8" ht="24">
      <c r="A941" s="18" t="s">
        <v>1103</v>
      </c>
      <c r="B941" s="17" t="s">
        <v>1339</v>
      </c>
      <c r="C941" s="17" t="s">
        <v>1339</v>
      </c>
      <c r="D941" s="17" t="s">
        <v>1271</v>
      </c>
      <c r="E941" s="39" t="s">
        <v>419</v>
      </c>
      <c r="F941" s="20">
        <v>4439</v>
      </c>
      <c r="G941" s="19">
        <f>F941-H941</f>
        <v>4439</v>
      </c>
      <c r="H941" s="20"/>
    </row>
    <row r="942" spans="1:8" ht="24" hidden="1">
      <c r="A942" s="18" t="s">
        <v>417</v>
      </c>
      <c r="B942" s="17" t="s">
        <v>1339</v>
      </c>
      <c r="C942" s="17" t="s">
        <v>1339</v>
      </c>
      <c r="D942" s="17" t="s">
        <v>1271</v>
      </c>
      <c r="E942" s="39" t="s">
        <v>420</v>
      </c>
      <c r="F942" s="20">
        <v>4088</v>
      </c>
      <c r="G942" s="19">
        <f>F942-H942</f>
        <v>4088</v>
      </c>
      <c r="H942" s="20"/>
    </row>
    <row r="943" spans="1:8" ht="24.75" customHeight="1">
      <c r="A943" s="24" t="s">
        <v>1331</v>
      </c>
      <c r="B943" s="21" t="s">
        <v>1337</v>
      </c>
      <c r="C943" s="21"/>
      <c r="D943" s="23"/>
      <c r="E943" s="23"/>
      <c r="F943" s="79">
        <f>F944+F955+F1108</f>
        <v>137692.4</v>
      </c>
      <c r="G943" s="79">
        <f aca="true" t="shared" si="33" ref="G943:G1048">F943-H943</f>
        <v>47124.2</v>
      </c>
      <c r="H943" s="79">
        <f>H944+H955+H1108</f>
        <v>90568.2</v>
      </c>
    </row>
    <row r="944" spans="1:8" ht="15">
      <c r="A944" s="31" t="s">
        <v>327</v>
      </c>
      <c r="B944" s="17" t="s">
        <v>1337</v>
      </c>
      <c r="C944" s="17" t="s">
        <v>184</v>
      </c>
      <c r="D944" s="27"/>
      <c r="E944" s="27"/>
      <c r="F944" s="30">
        <f>F945</f>
        <v>8044.5</v>
      </c>
      <c r="G944" s="19">
        <f t="shared" si="33"/>
        <v>8044.5</v>
      </c>
      <c r="H944" s="30">
        <f>H947</f>
        <v>0</v>
      </c>
    </row>
    <row r="945" spans="1:8" ht="36">
      <c r="A945" s="33" t="s">
        <v>477</v>
      </c>
      <c r="B945" s="17" t="s">
        <v>1337</v>
      </c>
      <c r="C945" s="17" t="s">
        <v>184</v>
      </c>
      <c r="D945" s="17" t="s">
        <v>600</v>
      </c>
      <c r="E945" s="27"/>
      <c r="F945" s="19">
        <f>F946</f>
        <v>8044.5</v>
      </c>
      <c r="G945" s="19">
        <f t="shared" si="33"/>
        <v>8044.5</v>
      </c>
      <c r="H945" s="30"/>
    </row>
    <row r="946" spans="1:8" ht="60">
      <c r="A946" s="36" t="s">
        <v>1055</v>
      </c>
      <c r="B946" s="17" t="s">
        <v>1337</v>
      </c>
      <c r="C946" s="17" t="s">
        <v>184</v>
      </c>
      <c r="D946" s="17" t="s">
        <v>601</v>
      </c>
      <c r="E946" s="27"/>
      <c r="F946" s="19">
        <f>F947</f>
        <v>8044.5</v>
      </c>
      <c r="G946" s="19">
        <f t="shared" si="33"/>
        <v>8044.5</v>
      </c>
      <c r="H946" s="30"/>
    </row>
    <row r="947" spans="1:8" ht="24">
      <c r="A947" s="36" t="s">
        <v>364</v>
      </c>
      <c r="B947" s="27" t="s">
        <v>1337</v>
      </c>
      <c r="C947" s="27" t="s">
        <v>184</v>
      </c>
      <c r="D947" s="17" t="s">
        <v>1056</v>
      </c>
      <c r="E947" s="27" t="s">
        <v>1204</v>
      </c>
      <c r="F947" s="30">
        <f>F949</f>
        <v>8044.5</v>
      </c>
      <c r="G947" s="19">
        <f t="shared" si="33"/>
        <v>8044.5</v>
      </c>
      <c r="H947" s="30">
        <f>H949</f>
        <v>0</v>
      </c>
    </row>
    <row r="948" spans="1:8" ht="24">
      <c r="A948" s="203" t="s">
        <v>284</v>
      </c>
      <c r="B948" s="17" t="s">
        <v>1337</v>
      </c>
      <c r="C948" s="17" t="s">
        <v>184</v>
      </c>
      <c r="D948" s="17" t="s">
        <v>1056</v>
      </c>
      <c r="E948" s="17" t="s">
        <v>1204</v>
      </c>
      <c r="F948" s="19">
        <f>F949</f>
        <v>8044.5</v>
      </c>
      <c r="G948" s="19">
        <f t="shared" si="33"/>
        <v>8044.5</v>
      </c>
      <c r="H948" s="30"/>
    </row>
    <row r="949" spans="1:8" ht="34.5" customHeight="1">
      <c r="A949" s="18" t="s">
        <v>314</v>
      </c>
      <c r="B949" s="17" t="s">
        <v>1337</v>
      </c>
      <c r="C949" s="17" t="s">
        <v>184</v>
      </c>
      <c r="D949" s="17" t="s">
        <v>1056</v>
      </c>
      <c r="E949" s="17" t="s">
        <v>1204</v>
      </c>
      <c r="F949" s="19">
        <f>F950+F952</f>
        <v>8044.5</v>
      </c>
      <c r="G949" s="19">
        <f t="shared" si="33"/>
        <v>8044.5</v>
      </c>
      <c r="H949" s="38"/>
    </row>
    <row r="950" spans="1:8" ht="24" customHeight="1">
      <c r="A950" s="18" t="s">
        <v>742</v>
      </c>
      <c r="B950" s="17" t="s">
        <v>1337</v>
      </c>
      <c r="C950" s="17" t="s">
        <v>184</v>
      </c>
      <c r="D950" s="17" t="s">
        <v>1056</v>
      </c>
      <c r="E950" s="17" t="s">
        <v>402</v>
      </c>
      <c r="F950" s="19">
        <f>F951</f>
        <v>79.7</v>
      </c>
      <c r="G950" s="19">
        <f t="shared" si="33"/>
        <v>79.7</v>
      </c>
      <c r="H950" s="38"/>
    </row>
    <row r="951" spans="1:8" ht="34.5" customHeight="1">
      <c r="A951" s="18" t="s">
        <v>743</v>
      </c>
      <c r="B951" s="17" t="s">
        <v>1337</v>
      </c>
      <c r="C951" s="17" t="s">
        <v>184</v>
      </c>
      <c r="D951" s="17" t="s">
        <v>1056</v>
      </c>
      <c r="E951" s="17" t="s">
        <v>1333</v>
      </c>
      <c r="F951" s="20">
        <v>79.7</v>
      </c>
      <c r="G951" s="19">
        <f t="shared" si="33"/>
        <v>79.7</v>
      </c>
      <c r="H951" s="38"/>
    </row>
    <row r="952" spans="1:8" ht="24.75" customHeight="1">
      <c r="A952" s="158" t="s">
        <v>405</v>
      </c>
      <c r="B952" s="17" t="s">
        <v>1337</v>
      </c>
      <c r="C952" s="17" t="s">
        <v>184</v>
      </c>
      <c r="D952" s="17" t="s">
        <v>1056</v>
      </c>
      <c r="E952" s="17" t="s">
        <v>406</v>
      </c>
      <c r="F952" s="19">
        <f>F953</f>
        <v>7964.8</v>
      </c>
      <c r="G952" s="19">
        <f t="shared" si="33"/>
        <v>7964.8</v>
      </c>
      <c r="H952" s="38"/>
    </row>
    <row r="953" spans="1:8" ht="24.75" customHeight="1">
      <c r="A953" s="158" t="s">
        <v>570</v>
      </c>
      <c r="B953" s="17" t="s">
        <v>1337</v>
      </c>
      <c r="C953" s="17" t="s">
        <v>184</v>
      </c>
      <c r="D953" s="17" t="s">
        <v>1056</v>
      </c>
      <c r="E953" s="17" t="s">
        <v>635</v>
      </c>
      <c r="F953" s="20">
        <f>8044.5-79.7</f>
        <v>7964.8</v>
      </c>
      <c r="G953" s="19">
        <f t="shared" si="33"/>
        <v>7964.8</v>
      </c>
      <c r="H953" s="38"/>
    </row>
    <row r="954" spans="1:8" ht="33.75" customHeight="1" hidden="1">
      <c r="A954" s="18" t="s">
        <v>143</v>
      </c>
      <c r="B954" s="17" t="s">
        <v>1337</v>
      </c>
      <c r="C954" s="17" t="s">
        <v>184</v>
      </c>
      <c r="D954" s="17" t="s">
        <v>1056</v>
      </c>
      <c r="E954" s="17" t="s">
        <v>144</v>
      </c>
      <c r="F954" s="20">
        <v>8044.5</v>
      </c>
      <c r="G954" s="19">
        <f t="shared" si="33"/>
        <v>8044.5</v>
      </c>
      <c r="H954" s="38"/>
    </row>
    <row r="955" spans="1:8" ht="15">
      <c r="A955" s="31" t="s">
        <v>343</v>
      </c>
      <c r="B955" s="17" t="s">
        <v>1337</v>
      </c>
      <c r="C955" s="17" t="s">
        <v>1340</v>
      </c>
      <c r="D955" s="17"/>
      <c r="E955" s="17"/>
      <c r="F955" s="30">
        <f>F956+F962+F1074+F1080</f>
        <v>63192.4</v>
      </c>
      <c r="G955" s="19">
        <f t="shared" si="33"/>
        <v>35046.200000000004</v>
      </c>
      <c r="H955" s="30">
        <f>H956+H962+H1074+H1080</f>
        <v>28146.199999999997</v>
      </c>
    </row>
    <row r="956" spans="1:9" ht="36">
      <c r="A956" s="177" t="s">
        <v>798</v>
      </c>
      <c r="B956" s="17" t="s">
        <v>1337</v>
      </c>
      <c r="C956" s="17" t="s">
        <v>1340</v>
      </c>
      <c r="D956" s="17" t="s">
        <v>1376</v>
      </c>
      <c r="E956" s="17"/>
      <c r="F956" s="19">
        <f>F957</f>
        <v>3000</v>
      </c>
      <c r="G956" s="19">
        <f t="shared" si="33"/>
        <v>3000</v>
      </c>
      <c r="H956" s="20"/>
      <c r="I956" s="83"/>
    </row>
    <row r="957" spans="1:21" s="65" customFormat="1" ht="35.25" customHeight="1">
      <c r="A957" s="173" t="s">
        <v>831</v>
      </c>
      <c r="B957" s="17" t="s">
        <v>1337</v>
      </c>
      <c r="C957" s="17" t="s">
        <v>1340</v>
      </c>
      <c r="D957" s="17" t="s">
        <v>1383</v>
      </c>
      <c r="E957" s="17"/>
      <c r="F957" s="19">
        <f>F958</f>
        <v>3000</v>
      </c>
      <c r="G957" s="19">
        <f t="shared" si="33"/>
        <v>3000</v>
      </c>
      <c r="H957" s="20"/>
      <c r="I957" s="83"/>
      <c r="J957" s="84"/>
      <c r="K957" s="83"/>
      <c r="L957" s="83"/>
      <c r="M957" s="83"/>
      <c r="N957" s="83"/>
      <c r="O957" s="83"/>
      <c r="P957" s="83"/>
      <c r="Q957" s="83"/>
      <c r="R957" s="83"/>
      <c r="S957" s="83"/>
      <c r="T957" s="83"/>
      <c r="U957" s="83"/>
    </row>
    <row r="958" spans="1:21" s="65" customFormat="1" ht="177" customHeight="1">
      <c r="A958" s="36" t="s">
        <v>1124</v>
      </c>
      <c r="B958" s="17" t="s">
        <v>1153</v>
      </c>
      <c r="C958" s="17" t="s">
        <v>1340</v>
      </c>
      <c r="D958" s="17" t="s">
        <v>569</v>
      </c>
      <c r="E958" s="17" t="s">
        <v>1204</v>
      </c>
      <c r="F958" s="19">
        <f>F959</f>
        <v>3000</v>
      </c>
      <c r="G958" s="19">
        <f t="shared" si="33"/>
        <v>3000</v>
      </c>
      <c r="H958" s="20"/>
      <c r="I958" s="83"/>
      <c r="J958" s="84"/>
      <c r="K958" s="83"/>
      <c r="L958" s="83"/>
      <c r="M958" s="83"/>
      <c r="N958" s="83"/>
      <c r="O958" s="83"/>
      <c r="P958" s="83"/>
      <c r="Q958" s="83"/>
      <c r="R958" s="83"/>
      <c r="S958" s="83"/>
      <c r="T958" s="83"/>
      <c r="U958" s="83"/>
    </row>
    <row r="959" spans="1:21" s="65" customFormat="1" ht="28.5" customHeight="1">
      <c r="A959" s="158" t="s">
        <v>405</v>
      </c>
      <c r="B959" s="17" t="s">
        <v>1153</v>
      </c>
      <c r="C959" s="17" t="s">
        <v>1340</v>
      </c>
      <c r="D959" s="17" t="s">
        <v>569</v>
      </c>
      <c r="E959" s="17" t="s">
        <v>406</v>
      </c>
      <c r="F959" s="19">
        <f>F960</f>
        <v>3000</v>
      </c>
      <c r="G959" s="19">
        <f t="shared" si="33"/>
        <v>3000</v>
      </c>
      <c r="H959" s="20"/>
      <c r="I959" s="83"/>
      <c r="J959" s="84"/>
      <c r="K959" s="83"/>
      <c r="L959" s="83"/>
      <c r="M959" s="83"/>
      <c r="N959" s="83"/>
      <c r="O959" s="83"/>
      <c r="P959" s="83"/>
      <c r="Q959" s="83"/>
      <c r="R959" s="83"/>
      <c r="S959" s="83"/>
      <c r="T959" s="83"/>
      <c r="U959" s="83"/>
    </row>
    <row r="960" spans="1:21" s="65" customFormat="1" ht="36">
      <c r="A960" s="36" t="s">
        <v>873</v>
      </c>
      <c r="B960" s="17" t="s">
        <v>1153</v>
      </c>
      <c r="C960" s="17" t="s">
        <v>1340</v>
      </c>
      <c r="D960" s="17" t="s">
        <v>569</v>
      </c>
      <c r="E960" s="17" t="s">
        <v>1015</v>
      </c>
      <c r="F960" s="20">
        <v>3000</v>
      </c>
      <c r="G960" s="19">
        <f t="shared" si="33"/>
        <v>3000</v>
      </c>
      <c r="H960" s="20"/>
      <c r="I960" s="83"/>
      <c r="J960" s="84"/>
      <c r="K960" s="83"/>
      <c r="L960" s="83"/>
      <c r="M960" s="83"/>
      <c r="N960" s="83"/>
      <c r="O960" s="83"/>
      <c r="P960" s="83"/>
      <c r="Q960" s="83"/>
      <c r="R960" s="83"/>
      <c r="S960" s="83"/>
      <c r="T960" s="83"/>
      <c r="U960" s="83"/>
    </row>
    <row r="961" spans="1:21" s="65" customFormat="1" ht="60" hidden="1">
      <c r="A961" s="18" t="s">
        <v>1110</v>
      </c>
      <c r="B961" s="17" t="s">
        <v>1153</v>
      </c>
      <c r="C961" s="17" t="s">
        <v>1340</v>
      </c>
      <c r="D961" s="17" t="s">
        <v>569</v>
      </c>
      <c r="E961" s="17" t="s">
        <v>572</v>
      </c>
      <c r="F961" s="20">
        <v>3000</v>
      </c>
      <c r="G961" s="19">
        <f t="shared" si="33"/>
        <v>3000</v>
      </c>
      <c r="H961" s="20"/>
      <c r="I961" s="83"/>
      <c r="J961" s="84"/>
      <c r="K961" s="83"/>
      <c r="L961" s="83"/>
      <c r="M961" s="83"/>
      <c r="N961" s="83"/>
      <c r="O961" s="83"/>
      <c r="P961" s="83"/>
      <c r="Q961" s="83"/>
      <c r="R961" s="83"/>
      <c r="S961" s="83"/>
      <c r="T961" s="83"/>
      <c r="U961" s="83"/>
    </row>
    <row r="962" spans="1:21" s="65" customFormat="1" ht="36">
      <c r="A962" s="33" t="s">
        <v>477</v>
      </c>
      <c r="B962" s="17" t="s">
        <v>1337</v>
      </c>
      <c r="C962" s="17" t="s">
        <v>1340</v>
      </c>
      <c r="D962" s="17" t="s">
        <v>600</v>
      </c>
      <c r="E962" s="17"/>
      <c r="F962" s="19">
        <f>F963+F1069</f>
        <v>47481</v>
      </c>
      <c r="G962" s="19">
        <f t="shared" si="33"/>
        <v>23023.000000000004</v>
      </c>
      <c r="H962" s="19">
        <f>H963+H1069</f>
        <v>24457.999999999996</v>
      </c>
      <c r="I962" s="83"/>
      <c r="J962" s="84"/>
      <c r="K962" s="83"/>
      <c r="L962" s="83"/>
      <c r="M962" s="83"/>
      <c r="N962" s="83"/>
      <c r="O962" s="83"/>
      <c r="P962" s="83"/>
      <c r="Q962" s="83"/>
      <c r="R962" s="83"/>
      <c r="S962" s="83"/>
      <c r="T962" s="83"/>
      <c r="U962" s="83"/>
    </row>
    <row r="963" spans="1:21" s="65" customFormat="1" ht="60">
      <c r="A963" s="36" t="s">
        <v>1055</v>
      </c>
      <c r="B963" s="17" t="s">
        <v>1337</v>
      </c>
      <c r="C963" s="17" t="s">
        <v>1340</v>
      </c>
      <c r="D963" s="17" t="s">
        <v>601</v>
      </c>
      <c r="E963" s="17"/>
      <c r="F963" s="19">
        <f>F964+F969+F974+F978+F982+F988+F994+F1000+F1006+F1012+F1018+F1024+F1030+F1036+F1040+F1045+F1047+F1053+F1057+F1063+F1061</f>
        <v>46981</v>
      </c>
      <c r="G963" s="19">
        <f t="shared" si="33"/>
        <v>22523.000000000004</v>
      </c>
      <c r="H963" s="19">
        <f>H964+H969+H974+H978+H982+H988+H994+H1000+H1006+H1012+H1018+H1024+H1030+H1036+H1040+H1047+H1053+H1057+H1063</f>
        <v>24457.999999999996</v>
      </c>
      <c r="I963" s="72"/>
      <c r="J963" s="84"/>
      <c r="K963" s="83"/>
      <c r="L963" s="83"/>
      <c r="M963" s="83"/>
      <c r="N963" s="83"/>
      <c r="O963" s="83"/>
      <c r="P963" s="83"/>
      <c r="Q963" s="83"/>
      <c r="R963" s="83"/>
      <c r="S963" s="83"/>
      <c r="T963" s="83"/>
      <c r="U963" s="83"/>
    </row>
    <row r="964" spans="1:8" ht="162" customHeight="1">
      <c r="A964" s="237" t="s">
        <v>46</v>
      </c>
      <c r="B964" s="17" t="s">
        <v>1337</v>
      </c>
      <c r="C964" s="17" t="s">
        <v>1340</v>
      </c>
      <c r="D964" s="17" t="s">
        <v>317</v>
      </c>
      <c r="E964" s="17" t="s">
        <v>1204</v>
      </c>
      <c r="F964" s="19">
        <f>F965+F967</f>
        <v>403.00000000000006</v>
      </c>
      <c r="G964" s="19">
        <f t="shared" si="33"/>
        <v>403.00000000000006</v>
      </c>
      <c r="H964" s="38"/>
    </row>
    <row r="965" spans="1:8" ht="33.75" customHeight="1">
      <c r="A965" s="18" t="s">
        <v>742</v>
      </c>
      <c r="B965" s="17" t="s">
        <v>1337</v>
      </c>
      <c r="C965" s="17" t="s">
        <v>1340</v>
      </c>
      <c r="D965" s="17" t="s">
        <v>317</v>
      </c>
      <c r="E965" s="17" t="s">
        <v>402</v>
      </c>
      <c r="F965" s="19">
        <f>F966</f>
        <v>3</v>
      </c>
      <c r="G965" s="19">
        <f t="shared" si="33"/>
        <v>3</v>
      </c>
      <c r="H965" s="38"/>
    </row>
    <row r="966" spans="1:8" ht="21" customHeight="1">
      <c r="A966" s="18" t="s">
        <v>743</v>
      </c>
      <c r="B966" s="17" t="s">
        <v>1337</v>
      </c>
      <c r="C966" s="17" t="s">
        <v>1340</v>
      </c>
      <c r="D966" s="17" t="s">
        <v>317</v>
      </c>
      <c r="E966" s="17" t="s">
        <v>1333</v>
      </c>
      <c r="F966" s="20">
        <v>3</v>
      </c>
      <c r="G966" s="19">
        <f t="shared" si="33"/>
        <v>3</v>
      </c>
      <c r="H966" s="38"/>
    </row>
    <row r="967" spans="1:8" ht="22.5" customHeight="1">
      <c r="A967" s="129" t="s">
        <v>405</v>
      </c>
      <c r="B967" s="17" t="s">
        <v>1337</v>
      </c>
      <c r="C967" s="17" t="s">
        <v>1340</v>
      </c>
      <c r="D967" s="17" t="s">
        <v>317</v>
      </c>
      <c r="E967" s="17" t="s">
        <v>406</v>
      </c>
      <c r="F967" s="19">
        <f>F968</f>
        <v>400.00000000000006</v>
      </c>
      <c r="G967" s="19">
        <f t="shared" si="33"/>
        <v>400.00000000000006</v>
      </c>
      <c r="H967" s="38"/>
    </row>
    <row r="968" spans="1:8" ht="24">
      <c r="A968" s="36" t="s">
        <v>570</v>
      </c>
      <c r="B968" s="17" t="s">
        <v>1337</v>
      </c>
      <c r="C968" s="17" t="s">
        <v>1340</v>
      </c>
      <c r="D968" s="17" t="s">
        <v>317</v>
      </c>
      <c r="E968" s="17" t="s">
        <v>635</v>
      </c>
      <c r="F968" s="20">
        <f>724.7-3-2.4-319.3</f>
        <v>400.00000000000006</v>
      </c>
      <c r="G968" s="19">
        <f t="shared" si="33"/>
        <v>400.00000000000006</v>
      </c>
      <c r="H968" s="38"/>
    </row>
    <row r="969" spans="1:8" ht="49.5" customHeight="1">
      <c r="A969" s="36" t="s">
        <v>710</v>
      </c>
      <c r="B969" s="17" t="s">
        <v>1337</v>
      </c>
      <c r="C969" s="17" t="s">
        <v>1340</v>
      </c>
      <c r="D969" s="17" t="s">
        <v>318</v>
      </c>
      <c r="E969" s="17" t="s">
        <v>1204</v>
      </c>
      <c r="F969" s="19">
        <f>F970+F972</f>
        <v>321.7</v>
      </c>
      <c r="G969" s="19">
        <f t="shared" si="33"/>
        <v>321.7</v>
      </c>
      <c r="H969" s="19">
        <f>H970+H972</f>
        <v>0</v>
      </c>
    </row>
    <row r="970" spans="1:8" ht="24">
      <c r="A970" s="18" t="s">
        <v>742</v>
      </c>
      <c r="B970" s="17" t="s">
        <v>1337</v>
      </c>
      <c r="C970" s="17" t="s">
        <v>1340</v>
      </c>
      <c r="D970" s="17" t="s">
        <v>318</v>
      </c>
      <c r="E970" s="17" t="s">
        <v>402</v>
      </c>
      <c r="F970" s="19">
        <f>F971</f>
        <v>2.4</v>
      </c>
      <c r="G970" s="19">
        <f t="shared" si="33"/>
        <v>2.4</v>
      </c>
      <c r="H970" s="38"/>
    </row>
    <row r="971" spans="1:8" ht="36">
      <c r="A971" s="18" t="s">
        <v>743</v>
      </c>
      <c r="B971" s="17" t="s">
        <v>1337</v>
      </c>
      <c r="C971" s="17" t="s">
        <v>1340</v>
      </c>
      <c r="D971" s="17" t="s">
        <v>318</v>
      </c>
      <c r="E971" s="17" t="s">
        <v>1333</v>
      </c>
      <c r="F971" s="20">
        <v>2.4</v>
      </c>
      <c r="G971" s="19">
        <f t="shared" si="33"/>
        <v>2.4</v>
      </c>
      <c r="H971" s="38"/>
    </row>
    <row r="972" spans="1:8" ht="24">
      <c r="A972" s="129" t="s">
        <v>405</v>
      </c>
      <c r="B972" s="17" t="s">
        <v>1337</v>
      </c>
      <c r="C972" s="17" t="s">
        <v>1340</v>
      </c>
      <c r="D972" s="17" t="s">
        <v>318</v>
      </c>
      <c r="E972" s="17" t="s">
        <v>406</v>
      </c>
      <c r="F972" s="19">
        <f>F973</f>
        <v>319.3</v>
      </c>
      <c r="G972" s="19">
        <f t="shared" si="33"/>
        <v>319.3</v>
      </c>
      <c r="H972" s="38"/>
    </row>
    <row r="973" spans="1:8" ht="24">
      <c r="A973" s="36" t="s">
        <v>570</v>
      </c>
      <c r="B973" s="17" t="s">
        <v>1337</v>
      </c>
      <c r="C973" s="17" t="s">
        <v>1340</v>
      </c>
      <c r="D973" s="17" t="s">
        <v>318</v>
      </c>
      <c r="E973" s="17" t="s">
        <v>635</v>
      </c>
      <c r="F973" s="20">
        <v>319.3</v>
      </c>
      <c r="G973" s="19">
        <f t="shared" si="33"/>
        <v>319.3</v>
      </c>
      <c r="H973" s="38"/>
    </row>
    <row r="974" spans="1:8" ht="124.5" customHeight="1">
      <c r="A974" s="18" t="s">
        <v>423</v>
      </c>
      <c r="B974" s="17" t="s">
        <v>1337</v>
      </c>
      <c r="C974" s="17" t="s">
        <v>1340</v>
      </c>
      <c r="D974" s="17" t="s">
        <v>319</v>
      </c>
      <c r="E974" s="17" t="s">
        <v>1204</v>
      </c>
      <c r="F974" s="19">
        <f>F976</f>
        <v>2060</v>
      </c>
      <c r="G974" s="19">
        <f t="shared" si="33"/>
        <v>2060</v>
      </c>
      <c r="H974" s="38"/>
    </row>
    <row r="975" spans="1:8" ht="26.25" customHeight="1">
      <c r="A975" s="129" t="s">
        <v>405</v>
      </c>
      <c r="B975" s="17" t="s">
        <v>1337</v>
      </c>
      <c r="C975" s="17" t="s">
        <v>1340</v>
      </c>
      <c r="D975" s="17" t="s">
        <v>319</v>
      </c>
      <c r="E975" s="17" t="s">
        <v>406</v>
      </c>
      <c r="F975" s="19">
        <f>F976</f>
        <v>2060</v>
      </c>
      <c r="G975" s="19">
        <f t="shared" si="33"/>
        <v>2060</v>
      </c>
      <c r="H975" s="38"/>
    </row>
    <row r="976" spans="1:8" ht="24">
      <c r="A976" s="36" t="s">
        <v>570</v>
      </c>
      <c r="B976" s="17" t="s">
        <v>1337</v>
      </c>
      <c r="C976" s="17" t="s">
        <v>1340</v>
      </c>
      <c r="D976" s="17" t="s">
        <v>319</v>
      </c>
      <c r="E976" s="17" t="s">
        <v>635</v>
      </c>
      <c r="F976" s="20">
        <f>2560-500</f>
        <v>2060</v>
      </c>
      <c r="G976" s="19">
        <f t="shared" si="33"/>
        <v>2060</v>
      </c>
      <c r="H976" s="38"/>
    </row>
    <row r="977" spans="1:8" ht="36" hidden="1">
      <c r="A977" s="18" t="s">
        <v>143</v>
      </c>
      <c r="B977" s="17" t="s">
        <v>1337</v>
      </c>
      <c r="C977" s="17" t="s">
        <v>1340</v>
      </c>
      <c r="D977" s="17" t="s">
        <v>319</v>
      </c>
      <c r="E977" s="17" t="s">
        <v>144</v>
      </c>
      <c r="F977" s="20">
        <v>2560</v>
      </c>
      <c r="G977" s="19">
        <f t="shared" si="33"/>
        <v>2560</v>
      </c>
      <c r="H977" s="38"/>
    </row>
    <row r="978" spans="1:8" ht="60">
      <c r="A978" s="18" t="s">
        <v>388</v>
      </c>
      <c r="B978" s="17" t="s">
        <v>1337</v>
      </c>
      <c r="C978" s="17" t="s">
        <v>1340</v>
      </c>
      <c r="D978" s="17" t="s">
        <v>320</v>
      </c>
      <c r="E978" s="17" t="s">
        <v>1204</v>
      </c>
      <c r="F978" s="19">
        <f>F980</f>
        <v>300</v>
      </c>
      <c r="G978" s="19">
        <f t="shared" si="33"/>
        <v>300</v>
      </c>
      <c r="H978" s="38"/>
    </row>
    <row r="979" spans="1:8" ht="24">
      <c r="A979" s="129" t="s">
        <v>405</v>
      </c>
      <c r="B979" s="17" t="s">
        <v>1337</v>
      </c>
      <c r="C979" s="17" t="s">
        <v>1340</v>
      </c>
      <c r="D979" s="17" t="s">
        <v>320</v>
      </c>
      <c r="E979" s="17" t="s">
        <v>406</v>
      </c>
      <c r="F979" s="19">
        <f>F980</f>
        <v>300</v>
      </c>
      <c r="G979" s="19">
        <f t="shared" si="33"/>
        <v>300</v>
      </c>
      <c r="H979" s="38"/>
    </row>
    <row r="980" spans="1:8" ht="24">
      <c r="A980" s="36" t="s">
        <v>570</v>
      </c>
      <c r="B980" s="17" t="s">
        <v>1337</v>
      </c>
      <c r="C980" s="17" t="s">
        <v>1340</v>
      </c>
      <c r="D980" s="17" t="s">
        <v>320</v>
      </c>
      <c r="E980" s="17" t="s">
        <v>635</v>
      </c>
      <c r="F980" s="20">
        <v>300</v>
      </c>
      <c r="G980" s="19">
        <f t="shared" si="33"/>
        <v>300</v>
      </c>
      <c r="H980" s="38"/>
    </row>
    <row r="981" spans="1:8" ht="36" hidden="1">
      <c r="A981" s="18" t="s">
        <v>143</v>
      </c>
      <c r="B981" s="17" t="s">
        <v>1337</v>
      </c>
      <c r="C981" s="17" t="s">
        <v>1340</v>
      </c>
      <c r="D981" s="17" t="s">
        <v>320</v>
      </c>
      <c r="E981" s="17" t="s">
        <v>144</v>
      </c>
      <c r="F981" s="20">
        <v>300</v>
      </c>
      <c r="G981" s="19">
        <f t="shared" si="33"/>
        <v>300</v>
      </c>
      <c r="H981" s="38"/>
    </row>
    <row r="982" spans="1:8" ht="36">
      <c r="A982" s="18" t="s">
        <v>1250</v>
      </c>
      <c r="B982" s="17" t="s">
        <v>1337</v>
      </c>
      <c r="C982" s="17" t="s">
        <v>1340</v>
      </c>
      <c r="D982" s="17" t="s">
        <v>321</v>
      </c>
      <c r="E982" s="17" t="s">
        <v>1204</v>
      </c>
      <c r="F982" s="19">
        <f>F983+F985</f>
        <v>327.1</v>
      </c>
      <c r="G982" s="19">
        <f t="shared" si="33"/>
        <v>327.1</v>
      </c>
      <c r="H982" s="38"/>
    </row>
    <row r="983" spans="1:8" ht="24">
      <c r="A983" s="18" t="s">
        <v>742</v>
      </c>
      <c r="B983" s="17" t="s">
        <v>1337</v>
      </c>
      <c r="C983" s="17" t="s">
        <v>1340</v>
      </c>
      <c r="D983" s="17" t="s">
        <v>321</v>
      </c>
      <c r="E983" s="17" t="s">
        <v>402</v>
      </c>
      <c r="F983" s="19">
        <f>F984</f>
        <v>10.6</v>
      </c>
      <c r="G983" s="19">
        <f t="shared" si="33"/>
        <v>10.6</v>
      </c>
      <c r="H983" s="38"/>
    </row>
    <row r="984" spans="1:8" ht="36">
      <c r="A984" s="18" t="s">
        <v>743</v>
      </c>
      <c r="B984" s="17" t="s">
        <v>1337</v>
      </c>
      <c r="C984" s="17" t="s">
        <v>1340</v>
      </c>
      <c r="D984" s="17" t="s">
        <v>321</v>
      </c>
      <c r="E984" s="17" t="s">
        <v>1333</v>
      </c>
      <c r="F984" s="20">
        <v>10.6</v>
      </c>
      <c r="G984" s="19">
        <f t="shared" si="33"/>
        <v>10.6</v>
      </c>
      <c r="H984" s="38"/>
    </row>
    <row r="985" spans="1:8" ht="24">
      <c r="A985" s="129" t="s">
        <v>405</v>
      </c>
      <c r="B985" s="17" t="s">
        <v>1337</v>
      </c>
      <c r="C985" s="17" t="s">
        <v>1340</v>
      </c>
      <c r="D985" s="17" t="s">
        <v>321</v>
      </c>
      <c r="E985" s="17" t="s">
        <v>406</v>
      </c>
      <c r="F985" s="19">
        <f>F986</f>
        <v>316.5</v>
      </c>
      <c r="G985" s="19">
        <f t="shared" si="33"/>
        <v>316.5</v>
      </c>
      <c r="H985" s="38"/>
    </row>
    <row r="986" spans="1:8" ht="24">
      <c r="A986" s="36" t="s">
        <v>570</v>
      </c>
      <c r="B986" s="17" t="s">
        <v>1337</v>
      </c>
      <c r="C986" s="17" t="s">
        <v>1340</v>
      </c>
      <c r="D986" s="17" t="s">
        <v>321</v>
      </c>
      <c r="E986" s="17" t="s">
        <v>635</v>
      </c>
      <c r="F986" s="20">
        <f>363.1-10.6-36</f>
        <v>316.5</v>
      </c>
      <c r="G986" s="19">
        <f t="shared" si="33"/>
        <v>316.5</v>
      </c>
      <c r="H986" s="38"/>
    </row>
    <row r="987" spans="1:8" ht="36" hidden="1">
      <c r="A987" s="18" t="s">
        <v>143</v>
      </c>
      <c r="B987" s="17" t="s">
        <v>1337</v>
      </c>
      <c r="C987" s="17" t="s">
        <v>1340</v>
      </c>
      <c r="D987" s="17" t="s">
        <v>321</v>
      </c>
      <c r="E987" s="17" t="s">
        <v>144</v>
      </c>
      <c r="F987" s="20">
        <v>363.1</v>
      </c>
      <c r="G987" s="19">
        <f t="shared" si="33"/>
        <v>363.1</v>
      </c>
      <c r="H987" s="38"/>
    </row>
    <row r="988" spans="1:8" ht="36">
      <c r="A988" s="18" t="s">
        <v>1035</v>
      </c>
      <c r="B988" s="17" t="s">
        <v>1337</v>
      </c>
      <c r="C988" s="17" t="s">
        <v>1340</v>
      </c>
      <c r="D988" s="17" t="s">
        <v>322</v>
      </c>
      <c r="E988" s="17" t="s">
        <v>1204</v>
      </c>
      <c r="F988" s="19">
        <f>F989+F991</f>
        <v>183.9</v>
      </c>
      <c r="G988" s="19">
        <f t="shared" si="33"/>
        <v>183.9</v>
      </c>
      <c r="H988" s="38"/>
    </row>
    <row r="989" spans="1:8" ht="24">
      <c r="A989" s="18" t="s">
        <v>742</v>
      </c>
      <c r="B989" s="17" t="s">
        <v>1337</v>
      </c>
      <c r="C989" s="17" t="s">
        <v>1340</v>
      </c>
      <c r="D989" s="17" t="s">
        <v>322</v>
      </c>
      <c r="E989" s="17" t="s">
        <v>402</v>
      </c>
      <c r="F989" s="19">
        <f>F990</f>
        <v>5.4</v>
      </c>
      <c r="G989" s="19">
        <f t="shared" si="33"/>
        <v>5.4</v>
      </c>
      <c r="H989" s="38"/>
    </row>
    <row r="990" spans="1:8" ht="36">
      <c r="A990" s="18" t="s">
        <v>743</v>
      </c>
      <c r="B990" s="17" t="s">
        <v>1337</v>
      </c>
      <c r="C990" s="17" t="s">
        <v>1340</v>
      </c>
      <c r="D990" s="17" t="s">
        <v>322</v>
      </c>
      <c r="E990" s="17" t="s">
        <v>1333</v>
      </c>
      <c r="F990" s="20">
        <v>5.4</v>
      </c>
      <c r="G990" s="19">
        <f t="shared" si="33"/>
        <v>5.4</v>
      </c>
      <c r="H990" s="38"/>
    </row>
    <row r="991" spans="1:8" ht="24">
      <c r="A991" s="129" t="s">
        <v>405</v>
      </c>
      <c r="B991" s="17" t="s">
        <v>1337</v>
      </c>
      <c r="C991" s="17" t="s">
        <v>1340</v>
      </c>
      <c r="D991" s="17" t="s">
        <v>322</v>
      </c>
      <c r="E991" s="17" t="s">
        <v>406</v>
      </c>
      <c r="F991" s="19">
        <f>F992</f>
        <v>178.5</v>
      </c>
      <c r="G991" s="19">
        <f t="shared" si="33"/>
        <v>178.5</v>
      </c>
      <c r="H991" s="38"/>
    </row>
    <row r="992" spans="1:8" ht="24">
      <c r="A992" s="36" t="s">
        <v>570</v>
      </c>
      <c r="B992" s="17" t="s">
        <v>1337</v>
      </c>
      <c r="C992" s="17" t="s">
        <v>1340</v>
      </c>
      <c r="D992" s="17" t="s">
        <v>322</v>
      </c>
      <c r="E992" s="17" t="s">
        <v>635</v>
      </c>
      <c r="F992" s="20">
        <f>183.9-5.4</f>
        <v>178.5</v>
      </c>
      <c r="G992" s="19">
        <f t="shared" si="33"/>
        <v>178.5</v>
      </c>
      <c r="H992" s="38"/>
    </row>
    <row r="993" spans="1:8" ht="36" hidden="1">
      <c r="A993" s="18" t="s">
        <v>143</v>
      </c>
      <c r="B993" s="17" t="s">
        <v>1337</v>
      </c>
      <c r="C993" s="17" t="s">
        <v>1340</v>
      </c>
      <c r="D993" s="17" t="s">
        <v>322</v>
      </c>
      <c r="E993" s="17" t="s">
        <v>144</v>
      </c>
      <c r="F993" s="20">
        <v>0</v>
      </c>
      <c r="G993" s="19">
        <f t="shared" si="33"/>
        <v>0</v>
      </c>
      <c r="H993" s="38"/>
    </row>
    <row r="994" spans="1:8" ht="36">
      <c r="A994" s="18" t="s">
        <v>24</v>
      </c>
      <c r="B994" s="17" t="s">
        <v>1337</v>
      </c>
      <c r="C994" s="17" t="s">
        <v>1340</v>
      </c>
      <c r="D994" s="17" t="s">
        <v>972</v>
      </c>
      <c r="E994" s="17" t="s">
        <v>1204</v>
      </c>
      <c r="F994" s="19">
        <f>F996+F997</f>
        <v>380.5</v>
      </c>
      <c r="G994" s="19">
        <f t="shared" si="33"/>
        <v>380.5</v>
      </c>
      <c r="H994" s="38"/>
    </row>
    <row r="995" spans="1:8" ht="24">
      <c r="A995" s="18" t="s">
        <v>742</v>
      </c>
      <c r="B995" s="17" t="s">
        <v>1337</v>
      </c>
      <c r="C995" s="17" t="s">
        <v>1340</v>
      </c>
      <c r="D995" s="17" t="s">
        <v>972</v>
      </c>
      <c r="E995" s="17" t="s">
        <v>402</v>
      </c>
      <c r="F995" s="19">
        <f>F996</f>
        <v>10</v>
      </c>
      <c r="G995" s="19">
        <f t="shared" si="33"/>
        <v>10</v>
      </c>
      <c r="H995" s="38"/>
    </row>
    <row r="996" spans="1:8" ht="36">
      <c r="A996" s="18" t="s">
        <v>743</v>
      </c>
      <c r="B996" s="17" t="s">
        <v>1337</v>
      </c>
      <c r="C996" s="17" t="s">
        <v>1340</v>
      </c>
      <c r="D996" s="17" t="s">
        <v>972</v>
      </c>
      <c r="E996" s="17" t="s">
        <v>1333</v>
      </c>
      <c r="F996" s="20">
        <v>10</v>
      </c>
      <c r="G996" s="19">
        <f t="shared" si="33"/>
        <v>10</v>
      </c>
      <c r="H996" s="38"/>
    </row>
    <row r="997" spans="1:8" ht="24">
      <c r="A997" s="129" t="s">
        <v>405</v>
      </c>
      <c r="B997" s="17" t="s">
        <v>1337</v>
      </c>
      <c r="C997" s="17" t="s">
        <v>1340</v>
      </c>
      <c r="D997" s="17" t="s">
        <v>972</v>
      </c>
      <c r="E997" s="17" t="s">
        <v>406</v>
      </c>
      <c r="F997" s="19">
        <f>F998</f>
        <v>370.5</v>
      </c>
      <c r="G997" s="19">
        <f t="shared" si="33"/>
        <v>370.5</v>
      </c>
      <c r="H997" s="38"/>
    </row>
    <row r="998" spans="1:8" ht="24">
      <c r="A998" s="36" t="s">
        <v>570</v>
      </c>
      <c r="B998" s="17" t="s">
        <v>1337</v>
      </c>
      <c r="C998" s="17" t="s">
        <v>1340</v>
      </c>
      <c r="D998" s="17" t="s">
        <v>972</v>
      </c>
      <c r="E998" s="17" t="s">
        <v>635</v>
      </c>
      <c r="F998" s="20">
        <f>344.5-10+36</f>
        <v>370.5</v>
      </c>
      <c r="G998" s="19">
        <f t="shared" si="33"/>
        <v>370.5</v>
      </c>
      <c r="H998" s="38"/>
    </row>
    <row r="999" spans="1:8" ht="36" hidden="1">
      <c r="A999" s="18" t="s">
        <v>143</v>
      </c>
      <c r="B999" s="17" t="s">
        <v>1337</v>
      </c>
      <c r="C999" s="17" t="s">
        <v>1340</v>
      </c>
      <c r="D999" s="17" t="s">
        <v>972</v>
      </c>
      <c r="E999" s="17" t="s">
        <v>144</v>
      </c>
      <c r="F999" s="20"/>
      <c r="G999" s="19">
        <f t="shared" si="33"/>
        <v>0</v>
      </c>
      <c r="H999" s="38"/>
    </row>
    <row r="1000" spans="1:8" ht="36">
      <c r="A1000" s="18" t="s">
        <v>25</v>
      </c>
      <c r="B1000" s="17" t="s">
        <v>1337</v>
      </c>
      <c r="C1000" s="17" t="s">
        <v>1340</v>
      </c>
      <c r="D1000" s="17" t="s">
        <v>973</v>
      </c>
      <c r="E1000" s="17" t="s">
        <v>1204</v>
      </c>
      <c r="F1000" s="19">
        <f>F1001+F1003</f>
        <v>24.7</v>
      </c>
      <c r="G1000" s="19">
        <f t="shared" si="33"/>
        <v>24.7</v>
      </c>
      <c r="H1000" s="38"/>
    </row>
    <row r="1001" spans="1:8" ht="24">
      <c r="A1001" s="18" t="s">
        <v>742</v>
      </c>
      <c r="B1001" s="17" t="s">
        <v>1337</v>
      </c>
      <c r="C1001" s="17" t="s">
        <v>1340</v>
      </c>
      <c r="D1001" s="17" t="s">
        <v>973</v>
      </c>
      <c r="E1001" s="17" t="s">
        <v>402</v>
      </c>
      <c r="F1001" s="19">
        <f>F1002</f>
        <v>0.7</v>
      </c>
      <c r="G1001" s="19">
        <f t="shared" si="33"/>
        <v>0.7</v>
      </c>
      <c r="H1001" s="38"/>
    </row>
    <row r="1002" spans="1:8" ht="36">
      <c r="A1002" s="18" t="s">
        <v>743</v>
      </c>
      <c r="B1002" s="17" t="s">
        <v>1337</v>
      </c>
      <c r="C1002" s="17" t="s">
        <v>1340</v>
      </c>
      <c r="D1002" s="17" t="s">
        <v>973</v>
      </c>
      <c r="E1002" s="17" t="s">
        <v>1333</v>
      </c>
      <c r="F1002" s="20">
        <v>0.7</v>
      </c>
      <c r="G1002" s="19">
        <f t="shared" si="33"/>
        <v>0.7</v>
      </c>
      <c r="H1002" s="38"/>
    </row>
    <row r="1003" spans="1:8" ht="24">
      <c r="A1003" s="129" t="s">
        <v>405</v>
      </c>
      <c r="B1003" s="17" t="s">
        <v>1337</v>
      </c>
      <c r="C1003" s="17" t="s">
        <v>1340</v>
      </c>
      <c r="D1003" s="17" t="s">
        <v>973</v>
      </c>
      <c r="E1003" s="17" t="s">
        <v>406</v>
      </c>
      <c r="F1003" s="19">
        <f>F1004</f>
        <v>24</v>
      </c>
      <c r="G1003" s="19">
        <f t="shared" si="33"/>
        <v>24</v>
      </c>
      <c r="H1003" s="38"/>
    </row>
    <row r="1004" spans="1:8" ht="24">
      <c r="A1004" s="36" t="s">
        <v>570</v>
      </c>
      <c r="B1004" s="17" t="s">
        <v>1337</v>
      </c>
      <c r="C1004" s="17" t="s">
        <v>1340</v>
      </c>
      <c r="D1004" s="17" t="s">
        <v>973</v>
      </c>
      <c r="E1004" s="17" t="s">
        <v>635</v>
      </c>
      <c r="F1004" s="20">
        <f>24.7-0.7</f>
        <v>24</v>
      </c>
      <c r="G1004" s="19">
        <f t="shared" si="33"/>
        <v>24</v>
      </c>
      <c r="H1004" s="38"/>
    </row>
    <row r="1005" spans="1:8" ht="36" hidden="1">
      <c r="A1005" s="18" t="s">
        <v>143</v>
      </c>
      <c r="B1005" s="17" t="s">
        <v>1337</v>
      </c>
      <c r="C1005" s="17" t="s">
        <v>1340</v>
      </c>
      <c r="D1005" s="17" t="s">
        <v>973</v>
      </c>
      <c r="E1005" s="17" t="s">
        <v>144</v>
      </c>
      <c r="F1005" s="20"/>
      <c r="G1005" s="19">
        <f t="shared" si="33"/>
        <v>0</v>
      </c>
      <c r="H1005" s="38"/>
    </row>
    <row r="1006" spans="1:8" ht="36">
      <c r="A1006" s="18" t="s">
        <v>632</v>
      </c>
      <c r="B1006" s="17" t="s">
        <v>1337</v>
      </c>
      <c r="C1006" s="17" t="s">
        <v>1340</v>
      </c>
      <c r="D1006" s="17" t="s">
        <v>974</v>
      </c>
      <c r="E1006" s="17" t="s">
        <v>1204</v>
      </c>
      <c r="F1006" s="19">
        <f>F1007+F1009</f>
        <v>38.6</v>
      </c>
      <c r="G1006" s="19">
        <f t="shared" si="33"/>
        <v>38.6</v>
      </c>
      <c r="H1006" s="38"/>
    </row>
    <row r="1007" spans="1:8" ht="24">
      <c r="A1007" s="18" t="s">
        <v>742</v>
      </c>
      <c r="B1007" s="17" t="s">
        <v>1337</v>
      </c>
      <c r="C1007" s="17" t="s">
        <v>1340</v>
      </c>
      <c r="D1007" s="17" t="s">
        <v>974</v>
      </c>
      <c r="E1007" s="17" t="s">
        <v>402</v>
      </c>
      <c r="F1007" s="19">
        <f>F1008</f>
        <v>1.1</v>
      </c>
      <c r="G1007" s="19">
        <f t="shared" si="33"/>
        <v>1.1</v>
      </c>
      <c r="H1007" s="38"/>
    </row>
    <row r="1008" spans="1:8" ht="36">
      <c r="A1008" s="18" t="s">
        <v>743</v>
      </c>
      <c r="B1008" s="17" t="s">
        <v>1337</v>
      </c>
      <c r="C1008" s="17" t="s">
        <v>1340</v>
      </c>
      <c r="D1008" s="17" t="s">
        <v>974</v>
      </c>
      <c r="E1008" s="17" t="s">
        <v>1333</v>
      </c>
      <c r="F1008" s="20">
        <v>1.1</v>
      </c>
      <c r="G1008" s="19">
        <f t="shared" si="33"/>
        <v>1.1</v>
      </c>
      <c r="H1008" s="38"/>
    </row>
    <row r="1009" spans="1:8" ht="24">
      <c r="A1009" s="129" t="s">
        <v>405</v>
      </c>
      <c r="B1009" s="17" t="s">
        <v>1337</v>
      </c>
      <c r="C1009" s="17" t="s">
        <v>1340</v>
      </c>
      <c r="D1009" s="17" t="s">
        <v>974</v>
      </c>
      <c r="E1009" s="17" t="s">
        <v>406</v>
      </c>
      <c r="F1009" s="19">
        <f>F1010</f>
        <v>37.5</v>
      </c>
      <c r="G1009" s="19">
        <f t="shared" si="33"/>
        <v>37.5</v>
      </c>
      <c r="H1009" s="38"/>
    </row>
    <row r="1010" spans="1:8" ht="24">
      <c r="A1010" s="36" t="s">
        <v>570</v>
      </c>
      <c r="B1010" s="17" t="s">
        <v>1337</v>
      </c>
      <c r="C1010" s="17" t="s">
        <v>1340</v>
      </c>
      <c r="D1010" s="17" t="s">
        <v>974</v>
      </c>
      <c r="E1010" s="17" t="s">
        <v>635</v>
      </c>
      <c r="F1010" s="20">
        <f>38.6-1.1</f>
        <v>37.5</v>
      </c>
      <c r="G1010" s="19">
        <f t="shared" si="33"/>
        <v>37.5</v>
      </c>
      <c r="H1010" s="38"/>
    </row>
    <row r="1011" spans="1:8" ht="36" hidden="1">
      <c r="A1011" s="18" t="s">
        <v>143</v>
      </c>
      <c r="B1011" s="17" t="s">
        <v>1337</v>
      </c>
      <c r="C1011" s="17" t="s">
        <v>1340</v>
      </c>
      <c r="D1011" s="17" t="s">
        <v>974</v>
      </c>
      <c r="E1011" s="17" t="s">
        <v>144</v>
      </c>
      <c r="F1011" s="20">
        <v>0</v>
      </c>
      <c r="G1011" s="19">
        <f t="shared" si="33"/>
        <v>0</v>
      </c>
      <c r="H1011" s="38"/>
    </row>
    <row r="1012" spans="1:8" ht="36">
      <c r="A1012" s="18" t="s">
        <v>4</v>
      </c>
      <c r="B1012" s="17" t="s">
        <v>1337</v>
      </c>
      <c r="C1012" s="17" t="s">
        <v>1340</v>
      </c>
      <c r="D1012" s="17" t="s">
        <v>975</v>
      </c>
      <c r="E1012" s="17" t="s">
        <v>1204</v>
      </c>
      <c r="F1012" s="19">
        <f>F1013+F1015</f>
        <v>35.5</v>
      </c>
      <c r="G1012" s="19">
        <f t="shared" si="33"/>
        <v>35.5</v>
      </c>
      <c r="H1012" s="38"/>
    </row>
    <row r="1013" spans="1:8" ht="24">
      <c r="A1013" s="18" t="s">
        <v>742</v>
      </c>
      <c r="B1013" s="17" t="s">
        <v>1337</v>
      </c>
      <c r="C1013" s="17" t="s">
        <v>1340</v>
      </c>
      <c r="D1013" s="17" t="s">
        <v>975</v>
      </c>
      <c r="E1013" s="17" t="s">
        <v>402</v>
      </c>
      <c r="F1013" s="19">
        <f>F1014</f>
        <v>1</v>
      </c>
      <c r="G1013" s="19">
        <f t="shared" si="33"/>
        <v>1</v>
      </c>
      <c r="H1013" s="38"/>
    </row>
    <row r="1014" spans="1:8" ht="36">
      <c r="A1014" s="18" t="s">
        <v>743</v>
      </c>
      <c r="B1014" s="17" t="s">
        <v>1337</v>
      </c>
      <c r="C1014" s="17" t="s">
        <v>1340</v>
      </c>
      <c r="D1014" s="17" t="s">
        <v>975</v>
      </c>
      <c r="E1014" s="17" t="s">
        <v>1333</v>
      </c>
      <c r="F1014" s="20">
        <v>1</v>
      </c>
      <c r="G1014" s="19">
        <f t="shared" si="33"/>
        <v>1</v>
      </c>
      <c r="H1014" s="38"/>
    </row>
    <row r="1015" spans="1:8" ht="24">
      <c r="A1015" s="129" t="s">
        <v>405</v>
      </c>
      <c r="B1015" s="17" t="s">
        <v>1337</v>
      </c>
      <c r="C1015" s="17" t="s">
        <v>1340</v>
      </c>
      <c r="D1015" s="17" t="s">
        <v>975</v>
      </c>
      <c r="E1015" s="17" t="s">
        <v>406</v>
      </c>
      <c r="F1015" s="19">
        <f>F1016</f>
        <v>34.5</v>
      </c>
      <c r="G1015" s="19">
        <f t="shared" si="33"/>
        <v>34.5</v>
      </c>
      <c r="H1015" s="38"/>
    </row>
    <row r="1016" spans="1:8" ht="24">
      <c r="A1016" s="36" t="s">
        <v>570</v>
      </c>
      <c r="B1016" s="17" t="s">
        <v>1337</v>
      </c>
      <c r="C1016" s="17" t="s">
        <v>1340</v>
      </c>
      <c r="D1016" s="17" t="s">
        <v>975</v>
      </c>
      <c r="E1016" s="17" t="s">
        <v>635</v>
      </c>
      <c r="F1016" s="20">
        <f>35.5-1</f>
        <v>34.5</v>
      </c>
      <c r="G1016" s="19">
        <f t="shared" si="33"/>
        <v>34.5</v>
      </c>
      <c r="H1016" s="38"/>
    </row>
    <row r="1017" spans="1:8" ht="36" hidden="1">
      <c r="A1017" s="18" t="s">
        <v>143</v>
      </c>
      <c r="B1017" s="17" t="s">
        <v>1337</v>
      </c>
      <c r="C1017" s="17" t="s">
        <v>1340</v>
      </c>
      <c r="D1017" s="17" t="s">
        <v>975</v>
      </c>
      <c r="E1017" s="17" t="s">
        <v>144</v>
      </c>
      <c r="F1017" s="20">
        <v>0</v>
      </c>
      <c r="G1017" s="19">
        <f t="shared" si="33"/>
        <v>0</v>
      </c>
      <c r="H1017" s="38"/>
    </row>
    <row r="1018" spans="1:8" ht="36">
      <c r="A1018" s="18" t="s">
        <v>1014</v>
      </c>
      <c r="B1018" s="17" t="s">
        <v>1337</v>
      </c>
      <c r="C1018" s="17" t="s">
        <v>1340</v>
      </c>
      <c r="D1018" s="17" t="s">
        <v>976</v>
      </c>
      <c r="E1018" s="17" t="s">
        <v>1204</v>
      </c>
      <c r="F1018" s="19">
        <f>F1019+F1021</f>
        <v>13.9</v>
      </c>
      <c r="G1018" s="19">
        <f t="shared" si="33"/>
        <v>13.9</v>
      </c>
      <c r="H1018" s="38"/>
    </row>
    <row r="1019" spans="1:8" ht="24">
      <c r="A1019" s="18" t="s">
        <v>742</v>
      </c>
      <c r="B1019" s="17" t="s">
        <v>1337</v>
      </c>
      <c r="C1019" s="17" t="s">
        <v>1340</v>
      </c>
      <c r="D1019" s="17" t="s">
        <v>976</v>
      </c>
      <c r="E1019" s="17" t="s">
        <v>402</v>
      </c>
      <c r="F1019" s="19">
        <f>F1020</f>
        <v>0.4</v>
      </c>
      <c r="G1019" s="19">
        <f t="shared" si="33"/>
        <v>0.4</v>
      </c>
      <c r="H1019" s="38"/>
    </row>
    <row r="1020" spans="1:8" ht="36">
      <c r="A1020" s="18" t="s">
        <v>743</v>
      </c>
      <c r="B1020" s="17" t="s">
        <v>1337</v>
      </c>
      <c r="C1020" s="17" t="s">
        <v>1340</v>
      </c>
      <c r="D1020" s="17" t="s">
        <v>976</v>
      </c>
      <c r="E1020" s="17" t="s">
        <v>1333</v>
      </c>
      <c r="F1020" s="20">
        <v>0.4</v>
      </c>
      <c r="G1020" s="19">
        <f t="shared" si="33"/>
        <v>0.4</v>
      </c>
      <c r="H1020" s="38"/>
    </row>
    <row r="1021" spans="1:8" ht="24">
      <c r="A1021" s="129" t="s">
        <v>405</v>
      </c>
      <c r="B1021" s="17" t="s">
        <v>1337</v>
      </c>
      <c r="C1021" s="17" t="s">
        <v>1340</v>
      </c>
      <c r="D1021" s="17" t="s">
        <v>976</v>
      </c>
      <c r="E1021" s="17" t="s">
        <v>406</v>
      </c>
      <c r="F1021" s="19">
        <f>F1022</f>
        <v>13.5</v>
      </c>
      <c r="G1021" s="19">
        <f t="shared" si="33"/>
        <v>13.5</v>
      </c>
      <c r="H1021" s="38"/>
    </row>
    <row r="1022" spans="1:8" ht="24">
      <c r="A1022" s="36" t="s">
        <v>570</v>
      </c>
      <c r="B1022" s="17" t="s">
        <v>1337</v>
      </c>
      <c r="C1022" s="17" t="s">
        <v>1340</v>
      </c>
      <c r="D1022" s="17" t="s">
        <v>976</v>
      </c>
      <c r="E1022" s="17" t="s">
        <v>635</v>
      </c>
      <c r="F1022" s="20">
        <f>13.9-0.4</f>
        <v>13.5</v>
      </c>
      <c r="G1022" s="19">
        <f t="shared" si="33"/>
        <v>13.5</v>
      </c>
      <c r="H1022" s="38"/>
    </row>
    <row r="1023" spans="1:8" ht="36" hidden="1">
      <c r="A1023" s="18" t="s">
        <v>143</v>
      </c>
      <c r="B1023" s="17" t="s">
        <v>1337</v>
      </c>
      <c r="C1023" s="17" t="s">
        <v>1340</v>
      </c>
      <c r="D1023" s="17" t="s">
        <v>976</v>
      </c>
      <c r="E1023" s="17" t="s">
        <v>144</v>
      </c>
      <c r="F1023" s="20">
        <v>0</v>
      </c>
      <c r="G1023" s="19">
        <f t="shared" si="33"/>
        <v>0</v>
      </c>
      <c r="H1023" s="38"/>
    </row>
    <row r="1024" spans="1:8" ht="36">
      <c r="A1024" s="18" t="s">
        <v>953</v>
      </c>
      <c r="B1024" s="17" t="s">
        <v>1337</v>
      </c>
      <c r="C1024" s="17" t="s">
        <v>1340</v>
      </c>
      <c r="D1024" s="17" t="s">
        <v>977</v>
      </c>
      <c r="E1024" s="17" t="s">
        <v>1204</v>
      </c>
      <c r="F1024" s="19">
        <f>F1025+F1027</f>
        <v>2373.5</v>
      </c>
      <c r="G1024" s="19">
        <f t="shared" si="33"/>
        <v>2373.5</v>
      </c>
      <c r="H1024" s="38"/>
    </row>
    <row r="1025" spans="1:8" ht="24">
      <c r="A1025" s="18" t="s">
        <v>742</v>
      </c>
      <c r="B1025" s="17" t="s">
        <v>1337</v>
      </c>
      <c r="C1025" s="17" t="s">
        <v>1340</v>
      </c>
      <c r="D1025" s="17" t="s">
        <v>977</v>
      </c>
      <c r="E1025" s="17" t="s">
        <v>402</v>
      </c>
      <c r="F1025" s="19">
        <f>F1026</f>
        <v>67.5</v>
      </c>
      <c r="G1025" s="19">
        <f t="shared" si="33"/>
        <v>67.5</v>
      </c>
      <c r="H1025" s="38"/>
    </row>
    <row r="1026" spans="1:8" ht="36">
      <c r="A1026" s="18" t="s">
        <v>743</v>
      </c>
      <c r="B1026" s="17" t="s">
        <v>1337</v>
      </c>
      <c r="C1026" s="17" t="s">
        <v>1340</v>
      </c>
      <c r="D1026" s="17" t="s">
        <v>977</v>
      </c>
      <c r="E1026" s="17" t="s">
        <v>1333</v>
      </c>
      <c r="F1026" s="20">
        <v>67.5</v>
      </c>
      <c r="G1026" s="19">
        <f t="shared" si="33"/>
        <v>67.5</v>
      </c>
      <c r="H1026" s="38"/>
    </row>
    <row r="1027" spans="1:8" ht="24">
      <c r="A1027" s="129" t="s">
        <v>405</v>
      </c>
      <c r="B1027" s="17" t="s">
        <v>1337</v>
      </c>
      <c r="C1027" s="17" t="s">
        <v>1340</v>
      </c>
      <c r="D1027" s="17" t="s">
        <v>977</v>
      </c>
      <c r="E1027" s="17" t="s">
        <v>406</v>
      </c>
      <c r="F1027" s="19">
        <f>F1028</f>
        <v>2306</v>
      </c>
      <c r="G1027" s="19">
        <f t="shared" si="33"/>
        <v>2306</v>
      </c>
      <c r="H1027" s="38"/>
    </row>
    <row r="1028" spans="1:8" ht="24">
      <c r="A1028" s="36" t="s">
        <v>570</v>
      </c>
      <c r="B1028" s="17" t="s">
        <v>1337</v>
      </c>
      <c r="C1028" s="17" t="s">
        <v>1340</v>
      </c>
      <c r="D1028" s="17" t="s">
        <v>977</v>
      </c>
      <c r="E1028" s="17" t="s">
        <v>635</v>
      </c>
      <c r="F1028" s="20">
        <f>2317.5-67.5+56</f>
        <v>2306</v>
      </c>
      <c r="G1028" s="19">
        <f t="shared" si="33"/>
        <v>2306</v>
      </c>
      <c r="H1028" s="38"/>
    </row>
    <row r="1029" spans="1:8" ht="36" hidden="1">
      <c r="A1029" s="18" t="s">
        <v>143</v>
      </c>
      <c r="B1029" s="17" t="s">
        <v>1337</v>
      </c>
      <c r="C1029" s="17" t="s">
        <v>1340</v>
      </c>
      <c r="D1029" s="17" t="s">
        <v>977</v>
      </c>
      <c r="E1029" s="17" t="s">
        <v>144</v>
      </c>
      <c r="F1029" s="20">
        <v>2317.5</v>
      </c>
      <c r="G1029" s="19">
        <f t="shared" si="33"/>
        <v>2317.5</v>
      </c>
      <c r="H1029" s="38"/>
    </row>
    <row r="1030" spans="1:8" ht="48">
      <c r="A1030" s="18" t="s">
        <v>14</v>
      </c>
      <c r="B1030" s="17" t="s">
        <v>1337</v>
      </c>
      <c r="C1030" s="17" t="s">
        <v>1340</v>
      </c>
      <c r="D1030" s="17" t="s">
        <v>978</v>
      </c>
      <c r="E1030" s="17" t="s">
        <v>1204</v>
      </c>
      <c r="F1030" s="19">
        <f>F1031+F1033</f>
        <v>605.5</v>
      </c>
      <c r="G1030" s="19">
        <f t="shared" si="33"/>
        <v>605.5</v>
      </c>
      <c r="H1030" s="38"/>
    </row>
    <row r="1031" spans="1:8" ht="24">
      <c r="A1031" s="18" t="s">
        <v>742</v>
      </c>
      <c r="B1031" s="17" t="s">
        <v>1337</v>
      </c>
      <c r="C1031" s="17" t="s">
        <v>1340</v>
      </c>
      <c r="D1031" s="17" t="s">
        <v>978</v>
      </c>
      <c r="E1031" s="17" t="s">
        <v>402</v>
      </c>
      <c r="F1031" s="19">
        <f>F1032</f>
        <v>1</v>
      </c>
      <c r="G1031" s="19">
        <f t="shared" si="33"/>
        <v>1</v>
      </c>
      <c r="H1031" s="38"/>
    </row>
    <row r="1032" spans="1:8" ht="36">
      <c r="A1032" s="18" t="s">
        <v>743</v>
      </c>
      <c r="B1032" s="17" t="s">
        <v>1337</v>
      </c>
      <c r="C1032" s="17" t="s">
        <v>1340</v>
      </c>
      <c r="D1032" s="17" t="s">
        <v>978</v>
      </c>
      <c r="E1032" s="17" t="s">
        <v>1333</v>
      </c>
      <c r="F1032" s="20">
        <v>1</v>
      </c>
      <c r="G1032" s="19">
        <f t="shared" si="33"/>
        <v>1</v>
      </c>
      <c r="H1032" s="38"/>
    </row>
    <row r="1033" spans="1:8" ht="24">
      <c r="A1033" s="129" t="s">
        <v>405</v>
      </c>
      <c r="B1033" s="17" t="s">
        <v>1337</v>
      </c>
      <c r="C1033" s="17" t="s">
        <v>1340</v>
      </c>
      <c r="D1033" s="17" t="s">
        <v>978</v>
      </c>
      <c r="E1033" s="17" t="s">
        <v>406</v>
      </c>
      <c r="F1033" s="19">
        <f>F1034</f>
        <v>604.5</v>
      </c>
      <c r="G1033" s="19">
        <f t="shared" si="33"/>
        <v>604.5</v>
      </c>
      <c r="H1033" s="38"/>
    </row>
    <row r="1034" spans="1:8" ht="24">
      <c r="A1034" s="36" t="s">
        <v>570</v>
      </c>
      <c r="B1034" s="17" t="s">
        <v>1337</v>
      </c>
      <c r="C1034" s="17" t="s">
        <v>1340</v>
      </c>
      <c r="D1034" s="17" t="s">
        <v>978</v>
      </c>
      <c r="E1034" s="17" t="s">
        <v>635</v>
      </c>
      <c r="F1034" s="20">
        <f>196.5+408</f>
        <v>604.5</v>
      </c>
      <c r="G1034" s="19">
        <f t="shared" si="33"/>
        <v>604.5</v>
      </c>
      <c r="H1034" s="38"/>
    </row>
    <row r="1035" spans="1:8" ht="36" hidden="1">
      <c r="A1035" s="18" t="s">
        <v>143</v>
      </c>
      <c r="B1035" s="17" t="s">
        <v>1337</v>
      </c>
      <c r="C1035" s="17" t="s">
        <v>1340</v>
      </c>
      <c r="D1035" s="17" t="s">
        <v>978</v>
      </c>
      <c r="E1035" s="17" t="s">
        <v>144</v>
      </c>
      <c r="F1035" s="20">
        <v>32.4</v>
      </c>
      <c r="G1035" s="19">
        <f t="shared" si="33"/>
        <v>32.4</v>
      </c>
      <c r="H1035" s="38"/>
    </row>
    <row r="1036" spans="1:8" ht="24">
      <c r="A1036" s="18" t="s">
        <v>238</v>
      </c>
      <c r="B1036" s="17" t="s">
        <v>1337</v>
      </c>
      <c r="C1036" s="17" t="s">
        <v>1340</v>
      </c>
      <c r="D1036" s="17" t="s">
        <v>979</v>
      </c>
      <c r="E1036" s="17" t="s">
        <v>1204</v>
      </c>
      <c r="F1036" s="19">
        <f>F1037</f>
        <v>300</v>
      </c>
      <c r="G1036" s="19">
        <f>F1036-H1036</f>
        <v>300</v>
      </c>
      <c r="H1036" s="30"/>
    </row>
    <row r="1037" spans="1:8" ht="24">
      <c r="A1037" s="129" t="s">
        <v>405</v>
      </c>
      <c r="B1037" s="17" t="s">
        <v>1337</v>
      </c>
      <c r="C1037" s="17" t="s">
        <v>1340</v>
      </c>
      <c r="D1037" s="17" t="s">
        <v>979</v>
      </c>
      <c r="E1037" s="17" t="s">
        <v>406</v>
      </c>
      <c r="F1037" s="19">
        <f>F1038</f>
        <v>300</v>
      </c>
      <c r="G1037" s="19">
        <f t="shared" si="33"/>
        <v>300</v>
      </c>
      <c r="H1037" s="30"/>
    </row>
    <row r="1038" spans="1:8" ht="24">
      <c r="A1038" s="36" t="s">
        <v>570</v>
      </c>
      <c r="B1038" s="17" t="s">
        <v>1337</v>
      </c>
      <c r="C1038" s="17" t="s">
        <v>1340</v>
      </c>
      <c r="D1038" s="17" t="s">
        <v>979</v>
      </c>
      <c r="E1038" s="17" t="s">
        <v>635</v>
      </c>
      <c r="F1038" s="20">
        <v>300</v>
      </c>
      <c r="G1038" s="19">
        <f>F1038-H1038</f>
        <v>300</v>
      </c>
      <c r="H1038" s="30"/>
    </row>
    <row r="1039" spans="1:8" ht="34.5" customHeight="1" hidden="1">
      <c r="A1039" s="18" t="s">
        <v>143</v>
      </c>
      <c r="B1039" s="17" t="s">
        <v>1337</v>
      </c>
      <c r="C1039" s="17" t="s">
        <v>1340</v>
      </c>
      <c r="D1039" s="17" t="s">
        <v>979</v>
      </c>
      <c r="E1039" s="17" t="s">
        <v>144</v>
      </c>
      <c r="F1039" s="20">
        <v>300</v>
      </c>
      <c r="G1039" s="19">
        <f t="shared" si="33"/>
        <v>300</v>
      </c>
      <c r="H1039" s="20"/>
    </row>
    <row r="1040" spans="1:8" ht="36.75" customHeight="1">
      <c r="A1040" s="18" t="s">
        <v>1361</v>
      </c>
      <c r="B1040" s="17" t="s">
        <v>1337</v>
      </c>
      <c r="C1040" s="17" t="s">
        <v>1340</v>
      </c>
      <c r="D1040" s="17" t="s">
        <v>980</v>
      </c>
      <c r="E1040" s="17" t="s">
        <v>1204</v>
      </c>
      <c r="F1040" s="19">
        <f>F1041+F1043</f>
        <v>5000.9</v>
      </c>
      <c r="G1040" s="19">
        <f t="shared" si="33"/>
        <v>5000.9</v>
      </c>
      <c r="H1040" s="19"/>
    </row>
    <row r="1041" spans="1:8" ht="36.75" customHeight="1">
      <c r="A1041" s="18" t="s">
        <v>742</v>
      </c>
      <c r="B1041" s="17" t="s">
        <v>1337</v>
      </c>
      <c r="C1041" s="17" t="s">
        <v>1340</v>
      </c>
      <c r="D1041" s="17" t="s">
        <v>980</v>
      </c>
      <c r="E1041" s="17" t="s">
        <v>402</v>
      </c>
      <c r="F1041" s="19">
        <f>F1042</f>
        <v>20</v>
      </c>
      <c r="G1041" s="19">
        <f t="shared" si="33"/>
        <v>20</v>
      </c>
      <c r="H1041" s="19"/>
    </row>
    <row r="1042" spans="1:8" ht="36.75" customHeight="1">
      <c r="A1042" s="18" t="s">
        <v>743</v>
      </c>
      <c r="B1042" s="17" t="s">
        <v>1337</v>
      </c>
      <c r="C1042" s="17" t="s">
        <v>1340</v>
      </c>
      <c r="D1042" s="17" t="s">
        <v>980</v>
      </c>
      <c r="E1042" s="17" t="s">
        <v>1333</v>
      </c>
      <c r="F1042" s="20">
        <v>20</v>
      </c>
      <c r="G1042" s="19">
        <f t="shared" si="33"/>
        <v>20</v>
      </c>
      <c r="H1042" s="19"/>
    </row>
    <row r="1043" spans="1:8" ht="26.25" customHeight="1">
      <c r="A1043" s="129" t="s">
        <v>405</v>
      </c>
      <c r="B1043" s="17" t="s">
        <v>1337</v>
      </c>
      <c r="C1043" s="17" t="s">
        <v>1340</v>
      </c>
      <c r="D1043" s="17" t="s">
        <v>980</v>
      </c>
      <c r="E1043" s="17" t="s">
        <v>406</v>
      </c>
      <c r="F1043" s="19">
        <f>F1044</f>
        <v>4980.9</v>
      </c>
      <c r="G1043" s="19">
        <f t="shared" si="33"/>
        <v>4980.9</v>
      </c>
      <c r="H1043" s="19"/>
    </row>
    <row r="1044" spans="1:8" ht="24.75" customHeight="1">
      <c r="A1044" s="36" t="s">
        <v>570</v>
      </c>
      <c r="B1044" s="17" t="s">
        <v>1337</v>
      </c>
      <c r="C1044" s="17" t="s">
        <v>1340</v>
      </c>
      <c r="D1044" s="17" t="s">
        <v>980</v>
      </c>
      <c r="E1044" s="17" t="s">
        <v>635</v>
      </c>
      <c r="F1044" s="20">
        <f>4007.6+313.3+600+60</f>
        <v>4980.9</v>
      </c>
      <c r="G1044" s="19">
        <f t="shared" si="33"/>
        <v>4980.9</v>
      </c>
      <c r="H1044" s="20"/>
    </row>
    <row r="1045" spans="1:8" ht="33" customHeight="1">
      <c r="A1045" s="18" t="s">
        <v>665</v>
      </c>
      <c r="B1045" s="17" t="s">
        <v>1337</v>
      </c>
      <c r="C1045" s="17" t="s">
        <v>1340</v>
      </c>
      <c r="D1045" s="17" t="s">
        <v>666</v>
      </c>
      <c r="E1045" s="17" t="s">
        <v>406</v>
      </c>
      <c r="F1045" s="19">
        <f>F1046</f>
        <v>421.9</v>
      </c>
      <c r="G1045" s="19">
        <f t="shared" si="33"/>
        <v>421.9</v>
      </c>
      <c r="H1045" s="20"/>
    </row>
    <row r="1046" spans="1:8" ht="33" customHeight="1">
      <c r="A1046" s="36" t="s">
        <v>570</v>
      </c>
      <c r="B1046" s="17" t="s">
        <v>1337</v>
      </c>
      <c r="C1046" s="17" t="s">
        <v>1340</v>
      </c>
      <c r="D1046" s="17" t="s">
        <v>666</v>
      </c>
      <c r="E1046" s="17" t="s">
        <v>635</v>
      </c>
      <c r="F1046" s="20">
        <v>421.9</v>
      </c>
      <c r="G1046" s="19">
        <f t="shared" si="33"/>
        <v>421.9</v>
      </c>
      <c r="H1046" s="20"/>
    </row>
    <row r="1047" spans="1:8" ht="31.5" customHeight="1">
      <c r="A1047" s="18" t="s">
        <v>1410</v>
      </c>
      <c r="B1047" s="17" t="s">
        <v>1337</v>
      </c>
      <c r="C1047" s="17" t="s">
        <v>1340</v>
      </c>
      <c r="D1047" s="17" t="s">
        <v>981</v>
      </c>
      <c r="E1047" s="17" t="s">
        <v>1204</v>
      </c>
      <c r="F1047" s="19">
        <f>F1048+F1050</f>
        <v>3000</v>
      </c>
      <c r="G1047" s="19">
        <f>F1047-H1047</f>
        <v>3000</v>
      </c>
      <c r="H1047" s="20"/>
    </row>
    <row r="1048" spans="1:8" ht="22.5" customHeight="1">
      <c r="A1048" s="18" t="s">
        <v>742</v>
      </c>
      <c r="B1048" s="17" t="s">
        <v>1337</v>
      </c>
      <c r="C1048" s="17" t="s">
        <v>1340</v>
      </c>
      <c r="D1048" s="17" t="s">
        <v>981</v>
      </c>
      <c r="E1048" s="17" t="s">
        <v>402</v>
      </c>
      <c r="F1048" s="19">
        <f>F1049</f>
        <v>50</v>
      </c>
      <c r="G1048" s="19">
        <f t="shared" si="33"/>
        <v>50</v>
      </c>
      <c r="H1048" s="20"/>
    </row>
    <row r="1049" spans="1:8" ht="22.5" customHeight="1">
      <c r="A1049" s="18" t="s">
        <v>743</v>
      </c>
      <c r="B1049" s="17" t="s">
        <v>1337</v>
      </c>
      <c r="C1049" s="17" t="s">
        <v>1340</v>
      </c>
      <c r="D1049" s="17" t="s">
        <v>981</v>
      </c>
      <c r="E1049" s="17" t="s">
        <v>1333</v>
      </c>
      <c r="F1049" s="20">
        <v>50</v>
      </c>
      <c r="G1049" s="19">
        <f>F1049-H1049</f>
        <v>50</v>
      </c>
      <c r="H1049" s="20"/>
    </row>
    <row r="1050" spans="1:8" ht="22.5" customHeight="1">
      <c r="A1050" s="129" t="s">
        <v>405</v>
      </c>
      <c r="B1050" s="17" t="s">
        <v>1337</v>
      </c>
      <c r="C1050" s="17" t="s">
        <v>1340</v>
      </c>
      <c r="D1050" s="17" t="s">
        <v>981</v>
      </c>
      <c r="E1050" s="17" t="s">
        <v>406</v>
      </c>
      <c r="F1050" s="19">
        <f>F1051</f>
        <v>2950</v>
      </c>
      <c r="G1050" s="19">
        <f>F1050-H1050</f>
        <v>2950</v>
      </c>
      <c r="H1050" s="20"/>
    </row>
    <row r="1051" spans="1:8" ht="21" customHeight="1">
      <c r="A1051" s="36" t="s">
        <v>570</v>
      </c>
      <c r="B1051" s="17" t="s">
        <v>1337</v>
      </c>
      <c r="C1051" s="17" t="s">
        <v>1340</v>
      </c>
      <c r="D1051" s="17" t="s">
        <v>981</v>
      </c>
      <c r="E1051" s="17" t="s">
        <v>635</v>
      </c>
      <c r="F1051" s="20">
        <v>2950</v>
      </c>
      <c r="G1051" s="19">
        <f>F1051-H1051</f>
        <v>2950</v>
      </c>
      <c r="H1051" s="20"/>
    </row>
    <row r="1052" spans="1:8" ht="34.5" customHeight="1" hidden="1">
      <c r="A1052" s="18" t="s">
        <v>143</v>
      </c>
      <c r="B1052" s="17" t="s">
        <v>1337</v>
      </c>
      <c r="C1052" s="17" t="s">
        <v>1340</v>
      </c>
      <c r="D1052" s="17" t="s">
        <v>981</v>
      </c>
      <c r="E1052" s="17" t="s">
        <v>144</v>
      </c>
      <c r="F1052" s="20">
        <v>3000</v>
      </c>
      <c r="G1052" s="19">
        <f>F1052-H1052</f>
        <v>3000</v>
      </c>
      <c r="H1052" s="20"/>
    </row>
    <row r="1053" spans="1:8" ht="96">
      <c r="A1053" s="132" t="s">
        <v>913</v>
      </c>
      <c r="B1053" s="17" t="s">
        <v>1337</v>
      </c>
      <c r="C1053" s="17" t="s">
        <v>1340</v>
      </c>
      <c r="D1053" s="17" t="s">
        <v>982</v>
      </c>
      <c r="E1053" s="17" t="s">
        <v>1204</v>
      </c>
      <c r="F1053" s="19">
        <f>F1054</f>
        <v>1270</v>
      </c>
      <c r="G1053" s="19">
        <f aca="true" t="shared" si="34" ref="G1053:G1107">F1053-H1053</f>
        <v>1270</v>
      </c>
      <c r="H1053" s="20"/>
    </row>
    <row r="1054" spans="1:8" ht="24">
      <c r="A1054" s="129" t="s">
        <v>405</v>
      </c>
      <c r="B1054" s="17" t="s">
        <v>1337</v>
      </c>
      <c r="C1054" s="17" t="s">
        <v>1340</v>
      </c>
      <c r="D1054" s="17" t="s">
        <v>982</v>
      </c>
      <c r="E1054" s="17" t="s">
        <v>406</v>
      </c>
      <c r="F1054" s="19">
        <f>F1055</f>
        <v>1270</v>
      </c>
      <c r="G1054" s="19">
        <f t="shared" si="34"/>
        <v>1270</v>
      </c>
      <c r="H1054" s="20"/>
    </row>
    <row r="1055" spans="1:8" ht="36">
      <c r="A1055" s="132" t="s">
        <v>873</v>
      </c>
      <c r="B1055" s="17" t="s">
        <v>1337</v>
      </c>
      <c r="C1055" s="17" t="s">
        <v>1340</v>
      </c>
      <c r="D1055" s="17" t="s">
        <v>982</v>
      </c>
      <c r="E1055" s="17" t="s">
        <v>1015</v>
      </c>
      <c r="F1055" s="20">
        <v>1270</v>
      </c>
      <c r="G1055" s="19">
        <f t="shared" si="34"/>
        <v>1270</v>
      </c>
      <c r="H1055" s="20"/>
    </row>
    <row r="1056" spans="1:8" ht="24" hidden="1">
      <c r="A1056" s="18" t="s">
        <v>1089</v>
      </c>
      <c r="B1056" s="17" t="s">
        <v>1337</v>
      </c>
      <c r="C1056" s="17" t="s">
        <v>1340</v>
      </c>
      <c r="D1056" s="17" t="s">
        <v>982</v>
      </c>
      <c r="E1056" s="17" t="s">
        <v>422</v>
      </c>
      <c r="F1056" s="20">
        <v>1270</v>
      </c>
      <c r="G1056" s="19">
        <f t="shared" si="34"/>
        <v>1270</v>
      </c>
      <c r="H1056" s="19"/>
    </row>
    <row r="1057" spans="1:8" ht="36">
      <c r="A1057" s="18" t="s">
        <v>1353</v>
      </c>
      <c r="B1057" s="17" t="s">
        <v>1337</v>
      </c>
      <c r="C1057" s="17" t="s">
        <v>1340</v>
      </c>
      <c r="D1057" s="17" t="s">
        <v>63</v>
      </c>
      <c r="E1057" s="17" t="s">
        <v>1204</v>
      </c>
      <c r="F1057" s="19">
        <f>F1058</f>
        <v>4000</v>
      </c>
      <c r="G1057" s="19">
        <f t="shared" si="34"/>
        <v>4000</v>
      </c>
      <c r="H1057" s="19"/>
    </row>
    <row r="1058" spans="1:8" ht="24">
      <c r="A1058" s="129" t="s">
        <v>405</v>
      </c>
      <c r="B1058" s="17" t="s">
        <v>1337</v>
      </c>
      <c r="C1058" s="17" t="s">
        <v>1340</v>
      </c>
      <c r="D1058" s="17" t="s">
        <v>63</v>
      </c>
      <c r="E1058" s="17" t="s">
        <v>406</v>
      </c>
      <c r="F1058" s="19">
        <f>F1059</f>
        <v>4000</v>
      </c>
      <c r="G1058" s="19">
        <f t="shared" si="34"/>
        <v>4000</v>
      </c>
      <c r="H1058" s="19"/>
    </row>
    <row r="1059" spans="1:8" ht="24">
      <c r="A1059" s="36" t="s">
        <v>570</v>
      </c>
      <c r="B1059" s="17" t="s">
        <v>1337</v>
      </c>
      <c r="C1059" s="17" t="s">
        <v>1340</v>
      </c>
      <c r="D1059" s="17" t="s">
        <v>63</v>
      </c>
      <c r="E1059" s="17" t="s">
        <v>635</v>
      </c>
      <c r="F1059" s="20">
        <v>4000</v>
      </c>
      <c r="G1059" s="19">
        <f t="shared" si="34"/>
        <v>4000</v>
      </c>
      <c r="H1059" s="19"/>
    </row>
    <row r="1060" spans="1:8" ht="48">
      <c r="A1060" s="18" t="s">
        <v>796</v>
      </c>
      <c r="B1060" s="17" t="s">
        <v>1337</v>
      </c>
      <c r="C1060" s="17" t="s">
        <v>1340</v>
      </c>
      <c r="D1060" s="17" t="s">
        <v>1216</v>
      </c>
      <c r="E1060" s="17" t="s">
        <v>1204</v>
      </c>
      <c r="F1060" s="19">
        <f>F1061</f>
        <v>1462.3</v>
      </c>
      <c r="G1060" s="19">
        <f t="shared" si="34"/>
        <v>1462.3</v>
      </c>
      <c r="H1060" s="19"/>
    </row>
    <row r="1061" spans="1:8" ht="24">
      <c r="A1061" s="129" t="s">
        <v>405</v>
      </c>
      <c r="B1061" s="17" t="s">
        <v>1337</v>
      </c>
      <c r="C1061" s="17" t="s">
        <v>1340</v>
      </c>
      <c r="D1061" s="17" t="s">
        <v>1216</v>
      </c>
      <c r="E1061" s="17" t="s">
        <v>406</v>
      </c>
      <c r="F1061" s="19">
        <f>F1062</f>
        <v>1462.3</v>
      </c>
      <c r="G1061" s="19">
        <f t="shared" si="34"/>
        <v>1462.3</v>
      </c>
      <c r="H1061" s="19"/>
    </row>
    <row r="1062" spans="1:8" ht="24">
      <c r="A1062" s="36" t="s">
        <v>570</v>
      </c>
      <c r="B1062" s="17" t="s">
        <v>1337</v>
      </c>
      <c r="C1062" s="17" t="s">
        <v>1340</v>
      </c>
      <c r="D1062" s="17" t="s">
        <v>1216</v>
      </c>
      <c r="E1062" s="17" t="s">
        <v>635</v>
      </c>
      <c r="F1062" s="20">
        <v>1462.3</v>
      </c>
      <c r="G1062" s="19">
        <f t="shared" si="34"/>
        <v>1462.3</v>
      </c>
      <c r="H1062" s="19"/>
    </row>
    <row r="1063" spans="1:8" ht="24">
      <c r="A1063" s="18" t="s">
        <v>1159</v>
      </c>
      <c r="B1063" s="17" t="s">
        <v>1337</v>
      </c>
      <c r="C1063" s="17" t="s">
        <v>1340</v>
      </c>
      <c r="D1063" s="17" t="s">
        <v>64</v>
      </c>
      <c r="E1063" s="17" t="s">
        <v>1204</v>
      </c>
      <c r="F1063" s="19">
        <f>F1064+F1066</f>
        <v>24457.999999999996</v>
      </c>
      <c r="G1063" s="19">
        <f t="shared" si="34"/>
        <v>0</v>
      </c>
      <c r="H1063" s="19">
        <f>H1064+H1066</f>
        <v>24457.999999999996</v>
      </c>
    </row>
    <row r="1064" spans="1:8" ht="24">
      <c r="A1064" s="18" t="s">
        <v>742</v>
      </c>
      <c r="B1064" s="17" t="s">
        <v>1337</v>
      </c>
      <c r="C1064" s="17" t="s">
        <v>1340</v>
      </c>
      <c r="D1064" s="17" t="s">
        <v>64</v>
      </c>
      <c r="E1064" s="17" t="s">
        <v>402</v>
      </c>
      <c r="F1064" s="19">
        <f>F1065</f>
        <v>182.00000000000003</v>
      </c>
      <c r="G1064" s="19"/>
      <c r="H1064" s="19">
        <f>H1065</f>
        <v>182.00000000000003</v>
      </c>
    </row>
    <row r="1065" spans="1:8" ht="36">
      <c r="A1065" s="18" t="s">
        <v>743</v>
      </c>
      <c r="B1065" s="17" t="s">
        <v>1337</v>
      </c>
      <c r="C1065" s="17" t="s">
        <v>1340</v>
      </c>
      <c r="D1065" s="17" t="s">
        <v>64</v>
      </c>
      <c r="E1065" s="17" t="s">
        <v>1333</v>
      </c>
      <c r="F1065" s="20">
        <f>156.8+17.9-0.1+7.4</f>
        <v>182.00000000000003</v>
      </c>
      <c r="G1065" s="19"/>
      <c r="H1065" s="20">
        <f>F1065</f>
        <v>182.00000000000003</v>
      </c>
    </row>
    <row r="1066" spans="1:8" ht="24">
      <c r="A1066" s="129" t="s">
        <v>405</v>
      </c>
      <c r="B1066" s="17" t="s">
        <v>1337</v>
      </c>
      <c r="C1066" s="17" t="s">
        <v>1340</v>
      </c>
      <c r="D1066" s="17" t="s">
        <v>64</v>
      </c>
      <c r="E1066" s="17" t="s">
        <v>406</v>
      </c>
      <c r="F1066" s="19">
        <f>F1067</f>
        <v>24275.999999999996</v>
      </c>
      <c r="G1066" s="19">
        <f t="shared" si="34"/>
        <v>0</v>
      </c>
      <c r="H1066" s="19">
        <f>H1067</f>
        <v>24275.999999999996</v>
      </c>
    </row>
    <row r="1067" spans="1:8" ht="36">
      <c r="A1067" s="132" t="s">
        <v>873</v>
      </c>
      <c r="B1067" s="17" t="s">
        <v>1337</v>
      </c>
      <c r="C1067" s="17" t="s">
        <v>1340</v>
      </c>
      <c r="D1067" s="17" t="s">
        <v>64</v>
      </c>
      <c r="E1067" s="17" t="s">
        <v>1015</v>
      </c>
      <c r="F1067" s="20">
        <f>21058-156.8+2382.1+0.1+992.6</f>
        <v>24275.999999999996</v>
      </c>
      <c r="G1067" s="19">
        <f t="shared" si="34"/>
        <v>0</v>
      </c>
      <c r="H1067" s="20">
        <f>F1067</f>
        <v>24275.999999999996</v>
      </c>
    </row>
    <row r="1068" spans="1:8" ht="36" hidden="1">
      <c r="A1068" s="18" t="s">
        <v>571</v>
      </c>
      <c r="B1068" s="17" t="s">
        <v>1337</v>
      </c>
      <c r="C1068" s="17" t="s">
        <v>1340</v>
      </c>
      <c r="D1068" s="17" t="s">
        <v>64</v>
      </c>
      <c r="E1068" s="17" t="s">
        <v>572</v>
      </c>
      <c r="F1068" s="20"/>
      <c r="G1068" s="19">
        <f t="shared" si="34"/>
        <v>0</v>
      </c>
      <c r="H1068" s="19"/>
    </row>
    <row r="1069" spans="1:8" ht="34.5" customHeight="1">
      <c r="A1069" s="18" t="s">
        <v>65</v>
      </c>
      <c r="B1069" s="17" t="s">
        <v>1337</v>
      </c>
      <c r="C1069" s="17" t="s">
        <v>1340</v>
      </c>
      <c r="D1069" s="17" t="s">
        <v>1087</v>
      </c>
      <c r="E1069" s="17"/>
      <c r="F1069" s="19">
        <f>F1070</f>
        <v>500</v>
      </c>
      <c r="G1069" s="19">
        <f t="shared" si="34"/>
        <v>500</v>
      </c>
      <c r="H1069" s="19"/>
    </row>
    <row r="1070" spans="1:8" ht="24">
      <c r="A1070" s="18" t="s">
        <v>759</v>
      </c>
      <c r="B1070" s="17" t="s">
        <v>1337</v>
      </c>
      <c r="C1070" s="17" t="s">
        <v>1340</v>
      </c>
      <c r="D1070" s="17" t="s">
        <v>1088</v>
      </c>
      <c r="E1070" s="17" t="s">
        <v>1204</v>
      </c>
      <c r="F1070" s="19">
        <f>F1072</f>
        <v>500</v>
      </c>
      <c r="G1070" s="19">
        <f t="shared" si="34"/>
        <v>500</v>
      </c>
      <c r="H1070" s="19"/>
    </row>
    <row r="1071" spans="1:8" ht="24">
      <c r="A1071" s="242" t="s">
        <v>405</v>
      </c>
      <c r="B1071" s="17" t="s">
        <v>1337</v>
      </c>
      <c r="C1071" s="17" t="s">
        <v>1340</v>
      </c>
      <c r="D1071" s="17" t="s">
        <v>1088</v>
      </c>
      <c r="E1071" s="17" t="s">
        <v>406</v>
      </c>
      <c r="F1071" s="19">
        <f>F1072</f>
        <v>500</v>
      </c>
      <c r="G1071" s="19">
        <f t="shared" si="34"/>
        <v>500</v>
      </c>
      <c r="H1071" s="19"/>
    </row>
    <row r="1072" spans="1:8" ht="24">
      <c r="A1072" s="36" t="s">
        <v>570</v>
      </c>
      <c r="B1072" s="17" t="s">
        <v>1337</v>
      </c>
      <c r="C1072" s="17" t="s">
        <v>1340</v>
      </c>
      <c r="D1072" s="17" t="s">
        <v>1088</v>
      </c>
      <c r="E1072" s="17" t="s">
        <v>635</v>
      </c>
      <c r="F1072" s="20">
        <v>500</v>
      </c>
      <c r="G1072" s="19">
        <f t="shared" si="34"/>
        <v>500</v>
      </c>
      <c r="H1072" s="19"/>
    </row>
    <row r="1073" spans="1:8" ht="24" hidden="1">
      <c r="A1073" s="18" t="s">
        <v>1089</v>
      </c>
      <c r="B1073" s="17" t="s">
        <v>1337</v>
      </c>
      <c r="C1073" s="17" t="s">
        <v>1340</v>
      </c>
      <c r="D1073" s="17" t="s">
        <v>1088</v>
      </c>
      <c r="E1073" s="17" t="s">
        <v>422</v>
      </c>
      <c r="F1073" s="20">
        <v>500</v>
      </c>
      <c r="G1073" s="19">
        <f t="shared" si="34"/>
        <v>500</v>
      </c>
      <c r="H1073" s="19"/>
    </row>
    <row r="1074" spans="1:8" ht="36" hidden="1">
      <c r="A1074" s="33" t="s">
        <v>478</v>
      </c>
      <c r="B1074" s="17" t="s">
        <v>1337</v>
      </c>
      <c r="C1074" s="17" t="s">
        <v>1340</v>
      </c>
      <c r="D1074" s="17" t="s">
        <v>778</v>
      </c>
      <c r="E1074" s="17"/>
      <c r="F1074" s="19">
        <f>F1075</f>
        <v>0</v>
      </c>
      <c r="G1074" s="19">
        <f t="shared" si="34"/>
        <v>0</v>
      </c>
      <c r="H1074" s="19"/>
    </row>
    <row r="1075" spans="1:8" ht="24" hidden="1">
      <c r="A1075" s="18" t="s">
        <v>564</v>
      </c>
      <c r="B1075" s="17" t="s">
        <v>1337</v>
      </c>
      <c r="C1075" s="17" t="s">
        <v>1340</v>
      </c>
      <c r="D1075" s="17" t="s">
        <v>777</v>
      </c>
      <c r="E1075" s="17"/>
      <c r="F1075" s="19">
        <f>F1076</f>
        <v>0</v>
      </c>
      <c r="G1075" s="19">
        <f t="shared" si="34"/>
        <v>0</v>
      </c>
      <c r="H1075" s="19"/>
    </row>
    <row r="1076" spans="1:8" ht="60" hidden="1">
      <c r="A1076" s="132" t="s">
        <v>1354</v>
      </c>
      <c r="B1076" s="17" t="s">
        <v>1337</v>
      </c>
      <c r="C1076" s="17" t="s">
        <v>1340</v>
      </c>
      <c r="D1076" s="17" t="s">
        <v>779</v>
      </c>
      <c r="E1076" s="17" t="s">
        <v>1204</v>
      </c>
      <c r="F1076" s="19">
        <f>F1078</f>
        <v>0</v>
      </c>
      <c r="G1076" s="19">
        <f t="shared" si="34"/>
        <v>0</v>
      </c>
      <c r="H1076" s="19"/>
    </row>
    <row r="1077" spans="1:8" ht="24" hidden="1">
      <c r="A1077" s="129" t="s">
        <v>405</v>
      </c>
      <c r="B1077" s="17" t="s">
        <v>1337</v>
      </c>
      <c r="C1077" s="17" t="s">
        <v>1340</v>
      </c>
      <c r="D1077" s="17" t="s">
        <v>779</v>
      </c>
      <c r="E1077" s="17" t="s">
        <v>406</v>
      </c>
      <c r="F1077" s="19">
        <f>F1078</f>
        <v>0</v>
      </c>
      <c r="G1077" s="19">
        <f t="shared" si="34"/>
        <v>0</v>
      </c>
      <c r="H1077" s="19"/>
    </row>
    <row r="1078" spans="1:8" ht="24" hidden="1">
      <c r="A1078" s="18" t="s">
        <v>873</v>
      </c>
      <c r="B1078" s="17" t="s">
        <v>1337</v>
      </c>
      <c r="C1078" s="17" t="s">
        <v>1340</v>
      </c>
      <c r="D1078" s="17" t="s">
        <v>779</v>
      </c>
      <c r="E1078" s="17" t="s">
        <v>1015</v>
      </c>
      <c r="F1078" s="20">
        <f>2221-2221</f>
        <v>0</v>
      </c>
      <c r="G1078" s="19">
        <f t="shared" si="34"/>
        <v>0</v>
      </c>
      <c r="H1078" s="19"/>
    </row>
    <row r="1079" spans="1:8" ht="15" hidden="1">
      <c r="A1079" s="18" t="s">
        <v>984</v>
      </c>
      <c r="B1079" s="17" t="s">
        <v>1337</v>
      </c>
      <c r="C1079" s="17" t="s">
        <v>1340</v>
      </c>
      <c r="D1079" s="17" t="s">
        <v>779</v>
      </c>
      <c r="E1079" s="17" t="s">
        <v>404</v>
      </c>
      <c r="F1079" s="20">
        <v>0</v>
      </c>
      <c r="G1079" s="19">
        <f t="shared" si="34"/>
        <v>0</v>
      </c>
      <c r="H1079" s="19"/>
    </row>
    <row r="1080" spans="1:8" ht="36">
      <c r="A1080" s="33" t="s">
        <v>455</v>
      </c>
      <c r="B1080" s="17" t="s">
        <v>1337</v>
      </c>
      <c r="C1080" s="17" t="s">
        <v>1340</v>
      </c>
      <c r="D1080" s="17" t="s">
        <v>1264</v>
      </c>
      <c r="E1080" s="17"/>
      <c r="F1080" s="85">
        <f>F1081+F1098+F1101+F1104</f>
        <v>12711.400000000001</v>
      </c>
      <c r="G1080" s="19">
        <f t="shared" si="34"/>
        <v>9023.2</v>
      </c>
      <c r="H1080" s="85">
        <f>H1081+H1098+H1101+H1104</f>
        <v>3688.2</v>
      </c>
    </row>
    <row r="1081" spans="1:8" ht="36">
      <c r="A1081" s="36" t="s">
        <v>1484</v>
      </c>
      <c r="B1081" s="17" t="s">
        <v>1337</v>
      </c>
      <c r="C1081" s="17" t="s">
        <v>1340</v>
      </c>
      <c r="D1081" s="17" t="s">
        <v>1485</v>
      </c>
      <c r="E1081" s="17" t="s">
        <v>1204</v>
      </c>
      <c r="F1081" s="85">
        <f>F1083+F1085+F1088</f>
        <v>9023.2</v>
      </c>
      <c r="G1081" s="19">
        <f t="shared" si="34"/>
        <v>9023.2</v>
      </c>
      <c r="H1081" s="85">
        <f>H1083+H1085+H1088</f>
        <v>0</v>
      </c>
    </row>
    <row r="1082" spans="1:8" ht="24">
      <c r="A1082" s="129" t="s">
        <v>405</v>
      </c>
      <c r="B1082" s="17" t="s">
        <v>1337</v>
      </c>
      <c r="C1082" s="17" t="s">
        <v>1340</v>
      </c>
      <c r="D1082" s="17" t="s">
        <v>1486</v>
      </c>
      <c r="E1082" s="17" t="s">
        <v>406</v>
      </c>
      <c r="F1082" s="85">
        <f>F1083</f>
        <v>3911</v>
      </c>
      <c r="G1082" s="19">
        <f t="shared" si="34"/>
        <v>3911</v>
      </c>
      <c r="H1082" s="35"/>
    </row>
    <row r="1083" spans="1:8" ht="36">
      <c r="A1083" s="18" t="s">
        <v>873</v>
      </c>
      <c r="B1083" s="17" t="s">
        <v>1337</v>
      </c>
      <c r="C1083" s="17" t="s">
        <v>1340</v>
      </c>
      <c r="D1083" s="17" t="s">
        <v>1486</v>
      </c>
      <c r="E1083" s="17" t="s">
        <v>1015</v>
      </c>
      <c r="F1083" s="55">
        <f>3200+711</f>
        <v>3911</v>
      </c>
      <c r="G1083" s="19">
        <f t="shared" si="34"/>
        <v>3911</v>
      </c>
      <c r="H1083" s="35"/>
    </row>
    <row r="1084" spans="1:8" ht="15" hidden="1">
      <c r="A1084" s="18" t="s">
        <v>984</v>
      </c>
      <c r="B1084" s="17" t="s">
        <v>1337</v>
      </c>
      <c r="C1084" s="17" t="s">
        <v>1340</v>
      </c>
      <c r="D1084" s="17" t="s">
        <v>1486</v>
      </c>
      <c r="E1084" s="17" t="s">
        <v>404</v>
      </c>
      <c r="F1084" s="55">
        <v>3200</v>
      </c>
      <c r="G1084" s="19">
        <f t="shared" si="34"/>
        <v>3200</v>
      </c>
      <c r="H1084" s="35"/>
    </row>
    <row r="1085" spans="1:8" ht="63.75" customHeight="1">
      <c r="A1085" s="18" t="s">
        <v>769</v>
      </c>
      <c r="B1085" s="17" t="s">
        <v>1337</v>
      </c>
      <c r="C1085" s="17" t="s">
        <v>1340</v>
      </c>
      <c r="D1085" s="17" t="s">
        <v>768</v>
      </c>
      <c r="E1085" s="17" t="s">
        <v>1204</v>
      </c>
      <c r="F1085" s="85">
        <f>F1086+F1095</f>
        <v>3647.6</v>
      </c>
      <c r="G1085" s="19">
        <f t="shared" si="34"/>
        <v>3647.6</v>
      </c>
      <c r="H1085" s="35"/>
    </row>
    <row r="1086" spans="1:8" ht="24">
      <c r="A1086" s="129" t="s">
        <v>405</v>
      </c>
      <c r="B1086" s="17" t="s">
        <v>1337</v>
      </c>
      <c r="C1086" s="17" t="s">
        <v>1340</v>
      </c>
      <c r="D1086" s="17" t="s">
        <v>768</v>
      </c>
      <c r="E1086" s="17" t="s">
        <v>406</v>
      </c>
      <c r="F1086" s="85">
        <f>F1087</f>
        <v>967.6</v>
      </c>
      <c r="G1086" s="19">
        <f t="shared" si="34"/>
        <v>967.6</v>
      </c>
      <c r="H1086" s="35"/>
    </row>
    <row r="1087" spans="1:8" ht="36">
      <c r="A1087" s="18" t="s">
        <v>873</v>
      </c>
      <c r="B1087" s="17" t="s">
        <v>1337</v>
      </c>
      <c r="C1087" s="17" t="s">
        <v>1340</v>
      </c>
      <c r="D1087" s="17" t="s">
        <v>768</v>
      </c>
      <c r="E1087" s="17" t="s">
        <v>1015</v>
      </c>
      <c r="F1087" s="55">
        <v>967.6</v>
      </c>
      <c r="G1087" s="19">
        <f t="shared" si="34"/>
        <v>967.6</v>
      </c>
      <c r="H1087" s="35"/>
    </row>
    <row r="1088" spans="1:8" ht="55.5" customHeight="1">
      <c r="A1088" s="18" t="s">
        <v>770</v>
      </c>
      <c r="B1088" s="17" t="s">
        <v>1337</v>
      </c>
      <c r="C1088" s="17" t="s">
        <v>1340</v>
      </c>
      <c r="D1088" s="17" t="s">
        <v>537</v>
      </c>
      <c r="E1088" s="17" t="s">
        <v>1204</v>
      </c>
      <c r="F1088" s="85">
        <f>F1089+F1093</f>
        <v>1464.6</v>
      </c>
      <c r="G1088" s="19">
        <f t="shared" si="34"/>
        <v>1464.6</v>
      </c>
      <c r="H1088" s="35"/>
    </row>
    <row r="1089" spans="1:8" ht="24">
      <c r="A1089" s="129" t="s">
        <v>405</v>
      </c>
      <c r="B1089" s="17" t="s">
        <v>1337</v>
      </c>
      <c r="C1089" s="17" t="s">
        <v>1340</v>
      </c>
      <c r="D1089" s="17" t="s">
        <v>537</v>
      </c>
      <c r="E1089" s="17" t="s">
        <v>406</v>
      </c>
      <c r="F1089" s="85">
        <f>F1090</f>
        <v>381.6</v>
      </c>
      <c r="G1089" s="19">
        <f t="shared" si="34"/>
        <v>381.6</v>
      </c>
      <c r="H1089" s="35"/>
    </row>
    <row r="1090" spans="1:8" ht="36">
      <c r="A1090" s="18" t="s">
        <v>873</v>
      </c>
      <c r="B1090" s="17" t="s">
        <v>1337</v>
      </c>
      <c r="C1090" s="17" t="s">
        <v>1340</v>
      </c>
      <c r="D1090" s="17" t="s">
        <v>537</v>
      </c>
      <c r="E1090" s="17" t="s">
        <v>1015</v>
      </c>
      <c r="F1090" s="55">
        <v>381.6</v>
      </c>
      <c r="G1090" s="19">
        <f t="shared" si="34"/>
        <v>381.6</v>
      </c>
      <c r="H1090" s="35"/>
    </row>
    <row r="1091" spans="1:8" ht="15" hidden="1">
      <c r="A1091" s="18" t="s">
        <v>984</v>
      </c>
      <c r="B1091" s="17" t="s">
        <v>1337</v>
      </c>
      <c r="C1091" s="17" t="s">
        <v>1340</v>
      </c>
      <c r="D1091" s="17" t="s">
        <v>473</v>
      </c>
      <c r="E1091" s="17" t="s">
        <v>404</v>
      </c>
      <c r="F1091" s="20"/>
      <c r="G1091" s="19">
        <f t="shared" si="34"/>
        <v>0</v>
      </c>
      <c r="H1091" s="38"/>
    </row>
    <row r="1092" spans="1:8" ht="48">
      <c r="A1092" s="18" t="s">
        <v>1136</v>
      </c>
      <c r="B1092" s="17" t="s">
        <v>1337</v>
      </c>
      <c r="C1092" s="17" t="s">
        <v>1340</v>
      </c>
      <c r="D1092" s="17" t="s">
        <v>537</v>
      </c>
      <c r="E1092" s="17" t="s">
        <v>1204</v>
      </c>
      <c r="F1092" s="19">
        <f>F1093</f>
        <v>1083</v>
      </c>
      <c r="G1092" s="19">
        <f t="shared" si="34"/>
        <v>1083</v>
      </c>
      <c r="H1092" s="38"/>
    </row>
    <row r="1093" spans="1:8" ht="24">
      <c r="A1093" s="129" t="s">
        <v>405</v>
      </c>
      <c r="B1093" s="17" t="s">
        <v>1337</v>
      </c>
      <c r="C1093" s="17" t="s">
        <v>1340</v>
      </c>
      <c r="D1093" s="17" t="s">
        <v>537</v>
      </c>
      <c r="E1093" s="17" t="s">
        <v>406</v>
      </c>
      <c r="F1093" s="19">
        <f>F1094</f>
        <v>1083</v>
      </c>
      <c r="G1093" s="19">
        <f t="shared" si="34"/>
        <v>1083</v>
      </c>
      <c r="H1093" s="38"/>
    </row>
    <row r="1094" spans="1:8" ht="36">
      <c r="A1094" s="18" t="s">
        <v>873</v>
      </c>
      <c r="B1094" s="17" t="s">
        <v>1337</v>
      </c>
      <c r="C1094" s="17" t="s">
        <v>1340</v>
      </c>
      <c r="D1094" s="17" t="s">
        <v>537</v>
      </c>
      <c r="E1094" s="17" t="s">
        <v>1015</v>
      </c>
      <c r="F1094" s="20">
        <v>1083</v>
      </c>
      <c r="G1094" s="19">
        <f t="shared" si="34"/>
        <v>1083</v>
      </c>
      <c r="H1094" s="38"/>
    </row>
    <row r="1095" spans="1:8" ht="48">
      <c r="A1095" s="18" t="s">
        <v>1137</v>
      </c>
      <c r="B1095" s="17" t="s">
        <v>1337</v>
      </c>
      <c r="C1095" s="17" t="s">
        <v>1340</v>
      </c>
      <c r="D1095" s="17" t="s">
        <v>768</v>
      </c>
      <c r="E1095" s="17" t="s">
        <v>1204</v>
      </c>
      <c r="F1095" s="19">
        <f>F1096</f>
        <v>2680</v>
      </c>
      <c r="G1095" s="19">
        <f t="shared" si="34"/>
        <v>2680</v>
      </c>
      <c r="H1095" s="38"/>
    </row>
    <row r="1096" spans="1:8" ht="24">
      <c r="A1096" s="129" t="s">
        <v>405</v>
      </c>
      <c r="B1096" s="17" t="s">
        <v>1337</v>
      </c>
      <c r="C1096" s="17" t="s">
        <v>1340</v>
      </c>
      <c r="D1096" s="17" t="s">
        <v>768</v>
      </c>
      <c r="E1096" s="17" t="s">
        <v>406</v>
      </c>
      <c r="F1096" s="19">
        <f>F1097</f>
        <v>2680</v>
      </c>
      <c r="G1096" s="19">
        <f t="shared" si="34"/>
        <v>2680</v>
      </c>
      <c r="H1096" s="38"/>
    </row>
    <row r="1097" spans="1:8" ht="36">
      <c r="A1097" s="18" t="s">
        <v>873</v>
      </c>
      <c r="B1097" s="17" t="s">
        <v>1337</v>
      </c>
      <c r="C1097" s="17" t="s">
        <v>1340</v>
      </c>
      <c r="D1097" s="17" t="s">
        <v>768</v>
      </c>
      <c r="E1097" s="17" t="s">
        <v>1015</v>
      </c>
      <c r="F1097" s="20">
        <v>2680</v>
      </c>
      <c r="G1097" s="19">
        <f t="shared" si="34"/>
        <v>2680</v>
      </c>
      <c r="H1097" s="38"/>
    </row>
    <row r="1098" spans="1:8" ht="84">
      <c r="A1098" s="36" t="s">
        <v>764</v>
      </c>
      <c r="B1098" s="17" t="s">
        <v>1337</v>
      </c>
      <c r="C1098" s="17" t="s">
        <v>1340</v>
      </c>
      <c r="D1098" s="17" t="s">
        <v>766</v>
      </c>
      <c r="E1098" s="17"/>
      <c r="F1098" s="19">
        <f>F1099</f>
        <v>0</v>
      </c>
      <c r="G1098" s="19">
        <f t="shared" si="34"/>
        <v>0</v>
      </c>
      <c r="H1098" s="19">
        <f>H1099</f>
        <v>0</v>
      </c>
    </row>
    <row r="1099" spans="1:8" ht="24">
      <c r="A1099" s="162" t="s">
        <v>405</v>
      </c>
      <c r="B1099" s="17" t="s">
        <v>1337</v>
      </c>
      <c r="C1099" s="17" t="s">
        <v>1340</v>
      </c>
      <c r="D1099" s="17" t="s">
        <v>766</v>
      </c>
      <c r="E1099" s="17" t="s">
        <v>406</v>
      </c>
      <c r="F1099" s="19">
        <f>F1100</f>
        <v>0</v>
      </c>
      <c r="G1099" s="19">
        <f t="shared" si="34"/>
        <v>0</v>
      </c>
      <c r="H1099" s="19">
        <f>H1100</f>
        <v>0</v>
      </c>
    </row>
    <row r="1100" spans="1:8" ht="36">
      <c r="A1100" s="162" t="s">
        <v>873</v>
      </c>
      <c r="B1100" s="17" t="s">
        <v>1337</v>
      </c>
      <c r="C1100" s="17" t="s">
        <v>1340</v>
      </c>
      <c r="D1100" s="17" t="s">
        <v>766</v>
      </c>
      <c r="E1100" s="17" t="s">
        <v>1015</v>
      </c>
      <c r="F1100" s="20">
        <f>1790.3-1790.3</f>
        <v>0</v>
      </c>
      <c r="G1100" s="19">
        <f t="shared" si="34"/>
        <v>0</v>
      </c>
      <c r="H1100" s="38">
        <f>1790.3-1790.3</f>
        <v>0</v>
      </c>
    </row>
    <row r="1101" spans="1:8" ht="84">
      <c r="A1101" s="18" t="s">
        <v>765</v>
      </c>
      <c r="B1101" s="17" t="s">
        <v>1337</v>
      </c>
      <c r="C1101" s="17" t="s">
        <v>1340</v>
      </c>
      <c r="D1101" s="17" t="s">
        <v>1185</v>
      </c>
      <c r="E1101" s="17"/>
      <c r="F1101" s="19">
        <f>F1102</f>
        <v>3688.2</v>
      </c>
      <c r="G1101" s="19">
        <f t="shared" si="34"/>
        <v>0</v>
      </c>
      <c r="H1101" s="19">
        <f>H1102</f>
        <v>3688.2</v>
      </c>
    </row>
    <row r="1102" spans="1:8" ht="24">
      <c r="A1102" s="162" t="s">
        <v>405</v>
      </c>
      <c r="B1102" s="17" t="s">
        <v>1337</v>
      </c>
      <c r="C1102" s="17" t="s">
        <v>1340</v>
      </c>
      <c r="D1102" s="17" t="s">
        <v>1185</v>
      </c>
      <c r="E1102" s="17" t="s">
        <v>406</v>
      </c>
      <c r="F1102" s="19">
        <f>F1103</f>
        <v>3688.2</v>
      </c>
      <c r="G1102" s="19">
        <f t="shared" si="34"/>
        <v>0</v>
      </c>
      <c r="H1102" s="19">
        <f>H1103</f>
        <v>3688.2</v>
      </c>
    </row>
    <row r="1103" spans="1:8" ht="36">
      <c r="A1103" s="162" t="s">
        <v>873</v>
      </c>
      <c r="B1103" s="17" t="s">
        <v>1337</v>
      </c>
      <c r="C1103" s="17" t="s">
        <v>1340</v>
      </c>
      <c r="D1103" s="17" t="s">
        <v>1185</v>
      </c>
      <c r="E1103" s="17" t="s">
        <v>1015</v>
      </c>
      <c r="F1103" s="20">
        <f>1790.3+895.2+1002.7</f>
        <v>3688.2</v>
      </c>
      <c r="G1103" s="19">
        <f t="shared" si="34"/>
        <v>0</v>
      </c>
      <c r="H1103" s="38">
        <f>2685.5+1002.7</f>
        <v>3688.2</v>
      </c>
    </row>
    <row r="1104" spans="1:8" ht="60" hidden="1">
      <c r="A1104" s="18" t="s">
        <v>332</v>
      </c>
      <c r="B1104" s="17" t="s">
        <v>1337</v>
      </c>
      <c r="C1104" s="17" t="s">
        <v>1340</v>
      </c>
      <c r="D1104" s="17" t="s">
        <v>1460</v>
      </c>
      <c r="E1104" s="17"/>
      <c r="F1104" s="85">
        <f>F1105</f>
        <v>0</v>
      </c>
      <c r="G1104" s="19">
        <f t="shared" si="34"/>
        <v>0</v>
      </c>
      <c r="H1104" s="38"/>
    </row>
    <row r="1105" spans="1:8" ht="24" hidden="1">
      <c r="A1105" s="18" t="s">
        <v>472</v>
      </c>
      <c r="B1105" s="17" t="s">
        <v>1337</v>
      </c>
      <c r="C1105" s="17" t="s">
        <v>1340</v>
      </c>
      <c r="D1105" s="17" t="s">
        <v>1461</v>
      </c>
      <c r="E1105" s="17" t="s">
        <v>1204</v>
      </c>
      <c r="F1105" s="19">
        <f>F1106</f>
        <v>0</v>
      </c>
      <c r="G1105" s="19">
        <f t="shared" si="34"/>
        <v>0</v>
      </c>
      <c r="H1105" s="38"/>
    </row>
    <row r="1106" spans="1:8" ht="24" hidden="1">
      <c r="A1106" s="162" t="s">
        <v>405</v>
      </c>
      <c r="B1106" s="17" t="s">
        <v>1337</v>
      </c>
      <c r="C1106" s="17" t="s">
        <v>1340</v>
      </c>
      <c r="D1106" s="17" t="s">
        <v>1461</v>
      </c>
      <c r="E1106" s="17" t="s">
        <v>406</v>
      </c>
      <c r="F1106" s="19">
        <f>F1107</f>
        <v>0</v>
      </c>
      <c r="G1106" s="19">
        <f t="shared" si="34"/>
        <v>0</v>
      </c>
      <c r="H1106" s="38"/>
    </row>
    <row r="1107" spans="1:8" ht="24" hidden="1">
      <c r="A1107" s="162" t="s">
        <v>873</v>
      </c>
      <c r="B1107" s="17" t="s">
        <v>1337</v>
      </c>
      <c r="C1107" s="17" t="s">
        <v>1340</v>
      </c>
      <c r="D1107" s="17" t="s">
        <v>1461</v>
      </c>
      <c r="E1107" s="17" t="s">
        <v>1015</v>
      </c>
      <c r="F1107" s="20">
        <v>0</v>
      </c>
      <c r="G1107" s="19">
        <f t="shared" si="34"/>
        <v>0</v>
      </c>
      <c r="H1107" s="38"/>
    </row>
    <row r="1108" spans="1:8" ht="15">
      <c r="A1108" s="31" t="s">
        <v>833</v>
      </c>
      <c r="B1108" s="17" t="s">
        <v>1337</v>
      </c>
      <c r="C1108" s="17" t="s">
        <v>118</v>
      </c>
      <c r="D1108" s="153"/>
      <c r="E1108" s="17"/>
      <c r="F1108" s="19">
        <f>F1109+F1114+F1117</f>
        <v>66455.5</v>
      </c>
      <c r="G1108" s="19">
        <f>F1108-H1108</f>
        <v>4033.5</v>
      </c>
      <c r="H1108" s="19">
        <f>H1109+H1114</f>
        <v>62422</v>
      </c>
    </row>
    <row r="1109" spans="1:8" ht="36">
      <c r="A1109" s="33" t="s">
        <v>1037</v>
      </c>
      <c r="B1109" s="17" t="s">
        <v>1337</v>
      </c>
      <c r="C1109" s="17" t="s">
        <v>118</v>
      </c>
      <c r="D1109" s="163" t="s">
        <v>1376</v>
      </c>
      <c r="E1109" s="17"/>
      <c r="F1109" s="19">
        <f>F1110</f>
        <v>34255</v>
      </c>
      <c r="G1109" s="19">
        <f aca="true" t="shared" si="35" ref="G1109:G1120">F1109-H1109</f>
        <v>0</v>
      </c>
      <c r="H1109" s="19">
        <f>H1110</f>
        <v>34255</v>
      </c>
    </row>
    <row r="1110" spans="1:8" ht="60">
      <c r="A1110" s="18" t="s">
        <v>1377</v>
      </c>
      <c r="B1110" s="17" t="s">
        <v>1337</v>
      </c>
      <c r="C1110" s="17" t="s">
        <v>118</v>
      </c>
      <c r="D1110" s="17" t="s">
        <v>799</v>
      </c>
      <c r="E1110" s="17"/>
      <c r="F1110" s="19">
        <f>F1111</f>
        <v>34255</v>
      </c>
      <c r="G1110" s="19">
        <f t="shared" si="35"/>
        <v>0</v>
      </c>
      <c r="H1110" s="19">
        <f>H1111</f>
        <v>34255</v>
      </c>
    </row>
    <row r="1111" spans="1:8" ht="84">
      <c r="A1111" s="36" t="s">
        <v>444</v>
      </c>
      <c r="B1111" s="17" t="s">
        <v>1337</v>
      </c>
      <c r="C1111" s="17" t="s">
        <v>118</v>
      </c>
      <c r="D1111" s="17" t="s">
        <v>443</v>
      </c>
      <c r="E1111" s="17" t="s">
        <v>1204</v>
      </c>
      <c r="F1111" s="19">
        <f>F1112</f>
        <v>34255</v>
      </c>
      <c r="G1111" s="19">
        <f t="shared" si="35"/>
        <v>0</v>
      </c>
      <c r="H1111" s="19">
        <f>H1113</f>
        <v>34255</v>
      </c>
    </row>
    <row r="1112" spans="1:8" ht="24">
      <c r="A1112" s="129" t="s">
        <v>405</v>
      </c>
      <c r="B1112" s="17" t="s">
        <v>1337</v>
      </c>
      <c r="C1112" s="17" t="s">
        <v>118</v>
      </c>
      <c r="D1112" s="17" t="s">
        <v>443</v>
      </c>
      <c r="E1112" s="17" t="s">
        <v>406</v>
      </c>
      <c r="F1112" s="19">
        <f>F1113</f>
        <v>34255</v>
      </c>
      <c r="G1112" s="19">
        <f t="shared" si="35"/>
        <v>0</v>
      </c>
      <c r="H1112" s="19">
        <f>F1112</f>
        <v>34255</v>
      </c>
    </row>
    <row r="1113" spans="1:8" ht="36">
      <c r="A1113" s="36" t="s">
        <v>873</v>
      </c>
      <c r="B1113" s="17" t="s">
        <v>1337</v>
      </c>
      <c r="C1113" s="17" t="s">
        <v>118</v>
      </c>
      <c r="D1113" s="17" t="s">
        <v>443</v>
      </c>
      <c r="E1113" s="17" t="s">
        <v>1015</v>
      </c>
      <c r="F1113" s="20">
        <f>38788-4027-506</f>
        <v>34255</v>
      </c>
      <c r="G1113" s="19">
        <f>F1113-H1113</f>
        <v>0</v>
      </c>
      <c r="H1113" s="20">
        <f>F1113</f>
        <v>34255</v>
      </c>
    </row>
    <row r="1114" spans="1:8" ht="24">
      <c r="A1114" s="33" t="s">
        <v>1021</v>
      </c>
      <c r="B1114" s="17" t="s">
        <v>1337</v>
      </c>
      <c r="C1114" s="17" t="s">
        <v>118</v>
      </c>
      <c r="D1114" s="17" t="s">
        <v>578</v>
      </c>
      <c r="E1114" s="17"/>
      <c r="F1114" s="19">
        <f>F1115</f>
        <v>28167</v>
      </c>
      <c r="G1114" s="19">
        <f>F1114-H1114</f>
        <v>0</v>
      </c>
      <c r="H1114" s="19">
        <f>H1115</f>
        <v>28167</v>
      </c>
    </row>
    <row r="1115" spans="1:8" ht="48">
      <c r="A1115" s="132" t="s">
        <v>1020</v>
      </c>
      <c r="B1115" s="17" t="s">
        <v>1337</v>
      </c>
      <c r="C1115" s="17" t="s">
        <v>118</v>
      </c>
      <c r="D1115" s="17" t="s">
        <v>578</v>
      </c>
      <c r="E1115" s="17" t="s">
        <v>406</v>
      </c>
      <c r="F1115" s="19">
        <f>F1116</f>
        <v>28167</v>
      </c>
      <c r="G1115" s="19">
        <f>F1115-H1115</f>
        <v>0</v>
      </c>
      <c r="H1115" s="19">
        <f>H1116</f>
        <v>28167</v>
      </c>
    </row>
    <row r="1116" spans="1:8" ht="64.5" customHeight="1">
      <c r="A1116" s="36" t="s">
        <v>586</v>
      </c>
      <c r="B1116" s="17" t="s">
        <v>1337</v>
      </c>
      <c r="C1116" s="17" t="s">
        <v>118</v>
      </c>
      <c r="D1116" s="17" t="s">
        <v>578</v>
      </c>
      <c r="E1116" s="17" t="s">
        <v>1015</v>
      </c>
      <c r="F1116" s="20">
        <f>1727+29471-3031</f>
        <v>28167</v>
      </c>
      <c r="G1116" s="19">
        <f>F1116-H1116</f>
        <v>0</v>
      </c>
      <c r="H1116" s="20">
        <f>F1116</f>
        <v>28167</v>
      </c>
    </row>
    <row r="1117" spans="1:8" ht="36.75" customHeight="1">
      <c r="A1117" s="33" t="s">
        <v>455</v>
      </c>
      <c r="B1117" s="17" t="s">
        <v>1337</v>
      </c>
      <c r="C1117" s="17" t="s">
        <v>118</v>
      </c>
      <c r="D1117" s="163" t="s">
        <v>1350</v>
      </c>
      <c r="E1117" s="17"/>
      <c r="F1117" s="19">
        <f>F1118</f>
        <v>4033.5</v>
      </c>
      <c r="G1117" s="19">
        <f t="shared" si="35"/>
        <v>4033.5</v>
      </c>
      <c r="H1117" s="19"/>
    </row>
    <row r="1118" spans="1:8" ht="50.25" customHeight="1">
      <c r="A1118" s="132" t="s">
        <v>1349</v>
      </c>
      <c r="B1118" s="17" t="s">
        <v>1337</v>
      </c>
      <c r="C1118" s="17" t="s">
        <v>118</v>
      </c>
      <c r="D1118" s="163" t="s">
        <v>1348</v>
      </c>
      <c r="E1118" s="17" t="s">
        <v>1204</v>
      </c>
      <c r="F1118" s="19">
        <f>F1119</f>
        <v>4033.5</v>
      </c>
      <c r="G1118" s="19">
        <f t="shared" si="35"/>
        <v>4033.5</v>
      </c>
      <c r="H1118" s="19"/>
    </row>
    <row r="1119" spans="1:8" ht="24">
      <c r="A1119" s="292" t="s">
        <v>405</v>
      </c>
      <c r="B1119" s="17" t="s">
        <v>1337</v>
      </c>
      <c r="C1119" s="17" t="s">
        <v>118</v>
      </c>
      <c r="D1119" s="163" t="s">
        <v>1348</v>
      </c>
      <c r="E1119" s="17" t="s">
        <v>406</v>
      </c>
      <c r="F1119" s="19">
        <f>F1120</f>
        <v>4033.5</v>
      </c>
      <c r="G1119" s="19">
        <f t="shared" si="35"/>
        <v>4033.5</v>
      </c>
      <c r="H1119" s="19"/>
    </row>
    <row r="1120" spans="1:8" ht="36">
      <c r="A1120" s="36" t="s">
        <v>873</v>
      </c>
      <c r="B1120" s="17" t="s">
        <v>1337</v>
      </c>
      <c r="C1120" s="17" t="s">
        <v>118</v>
      </c>
      <c r="D1120" s="163" t="s">
        <v>1348</v>
      </c>
      <c r="E1120" s="17" t="s">
        <v>1015</v>
      </c>
      <c r="F1120" s="20">
        <f>8508.5-4475</f>
        <v>4033.5</v>
      </c>
      <c r="G1120" s="19">
        <f t="shared" si="35"/>
        <v>4033.5</v>
      </c>
      <c r="H1120" s="19"/>
    </row>
    <row r="1121" spans="1:8" ht="15.75">
      <c r="A1121" s="24" t="s">
        <v>267</v>
      </c>
      <c r="B1121" s="23" t="s">
        <v>49</v>
      </c>
      <c r="C1121" s="23"/>
      <c r="D1121" s="23"/>
      <c r="E1121" s="23"/>
      <c r="F1121" s="2">
        <f>F1122</f>
        <v>166854.4</v>
      </c>
      <c r="G1121" s="79">
        <f>F1121-H1121</f>
        <v>166854.4</v>
      </c>
      <c r="H1121" s="30">
        <f>H1122</f>
        <v>0</v>
      </c>
    </row>
    <row r="1122" spans="1:8" ht="15">
      <c r="A1122" s="31" t="s">
        <v>268</v>
      </c>
      <c r="B1122" s="17" t="s">
        <v>49</v>
      </c>
      <c r="C1122" s="17" t="s">
        <v>184</v>
      </c>
      <c r="D1122" s="27"/>
      <c r="E1122" s="27"/>
      <c r="F1122" s="30">
        <f>F1123+F1155</f>
        <v>166854.4</v>
      </c>
      <c r="G1122" s="19">
        <f>F1122-H1122</f>
        <v>166854.4</v>
      </c>
      <c r="H1122" s="30">
        <f>H1123</f>
        <v>0</v>
      </c>
    </row>
    <row r="1123" spans="1:8" ht="36">
      <c r="A1123" s="33" t="s">
        <v>797</v>
      </c>
      <c r="B1123" s="17" t="s">
        <v>49</v>
      </c>
      <c r="C1123" s="17" t="s">
        <v>184</v>
      </c>
      <c r="D1123" s="17" t="s">
        <v>54</v>
      </c>
      <c r="E1123" s="17"/>
      <c r="F1123" s="19">
        <f>F1124</f>
        <v>166654.4</v>
      </c>
      <c r="G1123" s="19">
        <f aca="true" t="shared" si="36" ref="G1123:G1195">F1123-H1123</f>
        <v>166654.4</v>
      </c>
      <c r="H1123" s="19">
        <f>H1124</f>
        <v>0</v>
      </c>
    </row>
    <row r="1124" spans="1:8" ht="36">
      <c r="A1124" s="18" t="s">
        <v>57</v>
      </c>
      <c r="B1124" s="17" t="s">
        <v>49</v>
      </c>
      <c r="C1124" s="17" t="s">
        <v>184</v>
      </c>
      <c r="D1124" s="17" t="s">
        <v>58</v>
      </c>
      <c r="E1124" s="17"/>
      <c r="F1124" s="19">
        <f>F1128+F1131+F1151</f>
        <v>166654.4</v>
      </c>
      <c r="G1124" s="19">
        <f t="shared" si="36"/>
        <v>166654.4</v>
      </c>
      <c r="H1124" s="20"/>
    </row>
    <row r="1125" spans="1:8" ht="36" hidden="1">
      <c r="A1125" s="36" t="s">
        <v>270</v>
      </c>
      <c r="B1125" s="17" t="s">
        <v>49</v>
      </c>
      <c r="C1125" s="17" t="s">
        <v>184</v>
      </c>
      <c r="D1125" s="17" t="s">
        <v>59</v>
      </c>
      <c r="E1125" s="17" t="s">
        <v>312</v>
      </c>
      <c r="F1125" s="19"/>
      <c r="G1125" s="19">
        <f t="shared" si="36"/>
        <v>0</v>
      </c>
      <c r="H1125" s="20"/>
    </row>
    <row r="1126" spans="1:8" ht="60" hidden="1">
      <c r="A1126" s="36" t="s">
        <v>1005</v>
      </c>
      <c r="B1126" s="17" t="s">
        <v>49</v>
      </c>
      <c r="C1126" s="17" t="s">
        <v>184</v>
      </c>
      <c r="D1126" s="17" t="s">
        <v>59</v>
      </c>
      <c r="E1126" s="17" t="s">
        <v>1174</v>
      </c>
      <c r="F1126" s="19"/>
      <c r="G1126" s="19">
        <f t="shared" si="36"/>
        <v>0</v>
      </c>
      <c r="H1126" s="20"/>
    </row>
    <row r="1127" spans="1:8" ht="108" hidden="1">
      <c r="A1127" s="238" t="s">
        <v>1483</v>
      </c>
      <c r="B1127" s="17" t="s">
        <v>49</v>
      </c>
      <c r="C1127" s="17" t="s">
        <v>184</v>
      </c>
      <c r="D1127" s="17" t="s">
        <v>59</v>
      </c>
      <c r="E1127" s="17" t="s">
        <v>1174</v>
      </c>
      <c r="F1127" s="19"/>
      <c r="G1127" s="19">
        <f t="shared" si="36"/>
        <v>0</v>
      </c>
      <c r="H1127" s="20"/>
    </row>
    <row r="1128" spans="1:8" ht="84" customHeight="1">
      <c r="A1128" s="238" t="s">
        <v>1171</v>
      </c>
      <c r="B1128" s="17" t="s">
        <v>49</v>
      </c>
      <c r="C1128" s="17" t="s">
        <v>184</v>
      </c>
      <c r="D1128" s="17" t="s">
        <v>1249</v>
      </c>
      <c r="E1128" s="17"/>
      <c r="F1128" s="19">
        <f>F1129</f>
        <v>550</v>
      </c>
      <c r="G1128" s="19">
        <f t="shared" si="36"/>
        <v>550</v>
      </c>
      <c r="H1128" s="20"/>
    </row>
    <row r="1129" spans="1:8" ht="36">
      <c r="A1129" s="36" t="s">
        <v>459</v>
      </c>
      <c r="B1129" s="17" t="s">
        <v>49</v>
      </c>
      <c r="C1129" s="17" t="s">
        <v>184</v>
      </c>
      <c r="D1129" s="17" t="s">
        <v>1249</v>
      </c>
      <c r="E1129" s="17" t="s">
        <v>641</v>
      </c>
      <c r="F1129" s="19">
        <f>F1130</f>
        <v>550</v>
      </c>
      <c r="G1129" s="19">
        <f t="shared" si="36"/>
        <v>550</v>
      </c>
      <c r="H1129" s="20"/>
    </row>
    <row r="1130" spans="1:8" ht="24">
      <c r="A1130" s="18" t="s">
        <v>1103</v>
      </c>
      <c r="B1130" s="17" t="s">
        <v>49</v>
      </c>
      <c r="C1130" s="17" t="s">
        <v>184</v>
      </c>
      <c r="D1130" s="17" t="s">
        <v>1249</v>
      </c>
      <c r="E1130" s="17" t="s">
        <v>419</v>
      </c>
      <c r="F1130" s="20">
        <v>550</v>
      </c>
      <c r="G1130" s="19">
        <f t="shared" si="36"/>
        <v>550</v>
      </c>
      <c r="H1130" s="20"/>
    </row>
    <row r="1131" spans="1:8" ht="36">
      <c r="A1131" s="36" t="s">
        <v>459</v>
      </c>
      <c r="B1131" s="17" t="s">
        <v>49</v>
      </c>
      <c r="C1131" s="17" t="s">
        <v>184</v>
      </c>
      <c r="D1131" s="17" t="s">
        <v>59</v>
      </c>
      <c r="E1131" s="17" t="s">
        <v>641</v>
      </c>
      <c r="F1131" s="19">
        <f>F1132+F1142</f>
        <v>129209.89999999998</v>
      </c>
      <c r="G1131" s="19">
        <f t="shared" si="36"/>
        <v>129209.89999999998</v>
      </c>
      <c r="H1131" s="20"/>
    </row>
    <row r="1132" spans="1:8" ht="24">
      <c r="A1132" s="18" t="s">
        <v>390</v>
      </c>
      <c r="B1132" s="17" t="s">
        <v>49</v>
      </c>
      <c r="C1132" s="17" t="s">
        <v>184</v>
      </c>
      <c r="D1132" s="17" t="s">
        <v>59</v>
      </c>
      <c r="E1132" s="17" t="s">
        <v>419</v>
      </c>
      <c r="F1132" s="20">
        <f>30871-330+320-196+146.5+841+434+8-106.5+1470+61.5</f>
        <v>33519.5</v>
      </c>
      <c r="G1132" s="19">
        <f t="shared" si="36"/>
        <v>33519.5</v>
      </c>
      <c r="H1132" s="20"/>
    </row>
    <row r="1133" spans="1:8" ht="24" hidden="1">
      <c r="A1133" s="18" t="s">
        <v>417</v>
      </c>
      <c r="B1133" s="17" t="s">
        <v>49</v>
      </c>
      <c r="C1133" s="17" t="s">
        <v>184</v>
      </c>
      <c r="D1133" s="17" t="s">
        <v>59</v>
      </c>
      <c r="E1133" s="17" t="s">
        <v>420</v>
      </c>
      <c r="F1133" s="20">
        <v>28871</v>
      </c>
      <c r="G1133" s="19">
        <f t="shared" si="36"/>
        <v>28871</v>
      </c>
      <c r="H1133" s="20"/>
    </row>
    <row r="1134" spans="1:8" ht="24" hidden="1">
      <c r="A1134" s="18" t="s">
        <v>226</v>
      </c>
      <c r="B1134" s="17" t="s">
        <v>49</v>
      </c>
      <c r="C1134" s="17" t="s">
        <v>184</v>
      </c>
      <c r="D1134" s="17" t="s">
        <v>59</v>
      </c>
      <c r="E1134" s="17" t="s">
        <v>88</v>
      </c>
      <c r="F1134" s="19">
        <f>F1135+F1136+F1137+F1138</f>
        <v>1237</v>
      </c>
      <c r="G1134" s="19">
        <f t="shared" si="36"/>
        <v>1237</v>
      </c>
      <c r="H1134" s="20"/>
    </row>
    <row r="1135" spans="1:8" ht="36">
      <c r="A1135" s="18" t="s">
        <v>29</v>
      </c>
      <c r="B1135" s="17" t="s">
        <v>49</v>
      </c>
      <c r="C1135" s="17" t="s">
        <v>184</v>
      </c>
      <c r="D1135" s="17" t="s">
        <v>59</v>
      </c>
      <c r="E1135" s="17" t="s">
        <v>419</v>
      </c>
      <c r="F1135" s="20">
        <f>2000-330-196-237</f>
        <v>1237</v>
      </c>
      <c r="G1135" s="19">
        <f t="shared" si="36"/>
        <v>1237</v>
      </c>
      <c r="H1135" s="20"/>
    </row>
    <row r="1136" spans="1:8" ht="24" hidden="1">
      <c r="A1136" s="18" t="s">
        <v>529</v>
      </c>
      <c r="B1136" s="17" t="s">
        <v>49</v>
      </c>
      <c r="C1136" s="17" t="s">
        <v>184</v>
      </c>
      <c r="D1136" s="17" t="s">
        <v>59</v>
      </c>
      <c r="E1136" s="17" t="s">
        <v>88</v>
      </c>
      <c r="F1136" s="20"/>
      <c r="G1136" s="19">
        <f t="shared" si="36"/>
        <v>0</v>
      </c>
      <c r="H1136" s="20"/>
    </row>
    <row r="1137" spans="1:8" ht="24" hidden="1">
      <c r="A1137" s="18" t="s">
        <v>236</v>
      </c>
      <c r="B1137" s="17" t="s">
        <v>49</v>
      </c>
      <c r="C1137" s="17" t="s">
        <v>184</v>
      </c>
      <c r="D1137" s="17" t="s">
        <v>59</v>
      </c>
      <c r="E1137" s="17" t="s">
        <v>88</v>
      </c>
      <c r="F1137" s="20"/>
      <c r="G1137" s="19">
        <f t="shared" si="36"/>
        <v>0</v>
      </c>
      <c r="H1137" s="20"/>
    </row>
    <row r="1138" spans="1:8" ht="24" hidden="1">
      <c r="A1138" s="18" t="s">
        <v>179</v>
      </c>
      <c r="B1138" s="17" t="s">
        <v>49</v>
      </c>
      <c r="C1138" s="17" t="s">
        <v>184</v>
      </c>
      <c r="D1138" s="17" t="s">
        <v>59</v>
      </c>
      <c r="E1138" s="17" t="s">
        <v>88</v>
      </c>
      <c r="F1138" s="20"/>
      <c r="G1138" s="19">
        <f t="shared" si="36"/>
        <v>0</v>
      </c>
      <c r="H1138" s="20"/>
    </row>
    <row r="1139" spans="1:8" ht="36">
      <c r="A1139" s="18" t="s">
        <v>862</v>
      </c>
      <c r="B1139" s="17" t="s">
        <v>49</v>
      </c>
      <c r="C1139" s="17" t="s">
        <v>184</v>
      </c>
      <c r="D1139" s="17" t="s">
        <v>59</v>
      </c>
      <c r="E1139" s="17" t="s">
        <v>419</v>
      </c>
      <c r="F1139" s="20">
        <f>146.5+841</f>
        <v>987.5</v>
      </c>
      <c r="G1139" s="19">
        <f t="shared" si="36"/>
        <v>987.5</v>
      </c>
      <c r="H1139" s="20"/>
    </row>
    <row r="1140" spans="1:8" ht="24">
      <c r="A1140" s="18" t="s">
        <v>236</v>
      </c>
      <c r="B1140" s="17" t="s">
        <v>49</v>
      </c>
      <c r="C1140" s="17" t="s">
        <v>184</v>
      </c>
      <c r="D1140" s="17" t="s">
        <v>59</v>
      </c>
      <c r="E1140" s="17" t="s">
        <v>419</v>
      </c>
      <c r="F1140" s="20">
        <f>8+61.5</f>
        <v>69.5</v>
      </c>
      <c r="G1140" s="19">
        <f>F1140</f>
        <v>69.5</v>
      </c>
      <c r="H1140" s="20"/>
    </row>
    <row r="1141" spans="1:8" ht="48">
      <c r="A1141" s="18" t="s">
        <v>96</v>
      </c>
      <c r="B1141" s="17" t="s">
        <v>49</v>
      </c>
      <c r="C1141" s="17" t="s">
        <v>184</v>
      </c>
      <c r="D1141" s="17" t="s">
        <v>59</v>
      </c>
      <c r="E1141" s="17" t="s">
        <v>419</v>
      </c>
      <c r="F1141" s="20">
        <v>237</v>
      </c>
      <c r="G1141" s="19">
        <f t="shared" si="36"/>
        <v>237</v>
      </c>
      <c r="H1141" s="20"/>
    </row>
    <row r="1142" spans="1:8" ht="24">
      <c r="A1142" s="18" t="s">
        <v>746</v>
      </c>
      <c r="B1142" s="17" t="s">
        <v>49</v>
      </c>
      <c r="C1142" s="17" t="s">
        <v>184</v>
      </c>
      <c r="D1142" s="17" t="s">
        <v>59</v>
      </c>
      <c r="E1142" s="17" t="s">
        <v>244</v>
      </c>
      <c r="F1142" s="20">
        <f>79813-708.1+454.9+99.2+154+330-454.9+1040+7612.9+2439.4+3550+196+133.5+519+291.5+220</f>
        <v>95690.39999999998</v>
      </c>
      <c r="G1142" s="19">
        <f t="shared" si="36"/>
        <v>95690.39999999998</v>
      </c>
      <c r="H1142" s="20"/>
    </row>
    <row r="1143" spans="1:8" ht="36">
      <c r="A1143" s="18" t="s">
        <v>29</v>
      </c>
      <c r="B1143" s="17" t="s">
        <v>49</v>
      </c>
      <c r="C1143" s="17" t="s">
        <v>184</v>
      </c>
      <c r="D1143" s="17" t="s">
        <v>59</v>
      </c>
      <c r="E1143" s="17" t="s">
        <v>244</v>
      </c>
      <c r="F1143" s="20">
        <f>330+196</f>
        <v>526</v>
      </c>
      <c r="G1143" s="19">
        <f t="shared" si="36"/>
        <v>526</v>
      </c>
      <c r="H1143" s="20"/>
    </row>
    <row r="1144" spans="1:8" ht="24">
      <c r="A1144" s="18" t="s">
        <v>588</v>
      </c>
      <c r="B1144" s="17" t="s">
        <v>49</v>
      </c>
      <c r="C1144" s="17" t="s">
        <v>184</v>
      </c>
      <c r="D1144" s="17" t="s">
        <v>59</v>
      </c>
      <c r="E1144" s="17" t="s">
        <v>244</v>
      </c>
      <c r="F1144" s="20">
        <v>99.2</v>
      </c>
      <c r="G1144" s="19">
        <f t="shared" si="36"/>
        <v>99.2</v>
      </c>
      <c r="H1144" s="20"/>
    </row>
    <row r="1145" spans="1:8" ht="24">
      <c r="A1145" s="18" t="s">
        <v>623</v>
      </c>
      <c r="B1145" s="17" t="s">
        <v>49</v>
      </c>
      <c r="C1145" s="17" t="s">
        <v>184</v>
      </c>
      <c r="D1145" s="17" t="s">
        <v>59</v>
      </c>
      <c r="E1145" s="17" t="s">
        <v>244</v>
      </c>
      <c r="F1145" s="20">
        <v>154</v>
      </c>
      <c r="G1145" s="19">
        <f t="shared" si="36"/>
        <v>154</v>
      </c>
      <c r="H1145" s="20"/>
    </row>
    <row r="1146" spans="1:8" ht="36">
      <c r="A1146" s="18" t="s">
        <v>767</v>
      </c>
      <c r="B1146" s="17" t="s">
        <v>49</v>
      </c>
      <c r="C1146" s="17" t="s">
        <v>184</v>
      </c>
      <c r="D1146" s="17" t="s">
        <v>59</v>
      </c>
      <c r="E1146" s="17" t="s">
        <v>244</v>
      </c>
      <c r="F1146" s="20">
        <f>1040-100</f>
        <v>940</v>
      </c>
      <c r="G1146" s="19">
        <f t="shared" si="36"/>
        <v>940</v>
      </c>
      <c r="H1146" s="20"/>
    </row>
    <row r="1147" spans="1:8" ht="48">
      <c r="A1147" s="18" t="s">
        <v>1462</v>
      </c>
      <c r="B1147" s="17" t="s">
        <v>49</v>
      </c>
      <c r="C1147" s="17" t="s">
        <v>184</v>
      </c>
      <c r="D1147" s="17" t="s">
        <v>59</v>
      </c>
      <c r="E1147" s="17" t="s">
        <v>244</v>
      </c>
      <c r="F1147" s="20">
        <f>7612.9+2439.4+3550+291.5-1250</f>
        <v>12643.8</v>
      </c>
      <c r="G1147" s="19">
        <f t="shared" si="36"/>
        <v>12643.8</v>
      </c>
      <c r="H1147" s="20"/>
    </row>
    <row r="1148" spans="1:8" ht="36">
      <c r="A1148" s="18" t="s">
        <v>862</v>
      </c>
      <c r="B1148" s="17" t="s">
        <v>49</v>
      </c>
      <c r="C1148" s="17" t="s">
        <v>184</v>
      </c>
      <c r="D1148" s="17" t="s">
        <v>59</v>
      </c>
      <c r="E1148" s="17" t="s">
        <v>244</v>
      </c>
      <c r="F1148" s="20">
        <f>133.5+519</f>
        <v>652.5</v>
      </c>
      <c r="G1148" s="19">
        <f t="shared" si="36"/>
        <v>652.5</v>
      </c>
      <c r="H1148" s="20"/>
    </row>
    <row r="1149" spans="1:8" ht="48">
      <c r="A1149" s="18" t="s">
        <v>98</v>
      </c>
      <c r="B1149" s="17" t="s">
        <v>49</v>
      </c>
      <c r="C1149" s="17" t="s">
        <v>184</v>
      </c>
      <c r="D1149" s="17" t="s">
        <v>59</v>
      </c>
      <c r="E1149" s="17" t="s">
        <v>244</v>
      </c>
      <c r="F1149" s="20">
        <v>220</v>
      </c>
      <c r="G1149" s="19">
        <f>F1149</f>
        <v>220</v>
      </c>
      <c r="H1149" s="20"/>
    </row>
    <row r="1150" spans="1:8" ht="24">
      <c r="A1150" s="18" t="s">
        <v>236</v>
      </c>
      <c r="B1150" s="17" t="s">
        <v>49</v>
      </c>
      <c r="C1150" s="17" t="s">
        <v>184</v>
      </c>
      <c r="D1150" s="17" t="s">
        <v>59</v>
      </c>
      <c r="E1150" s="17" t="s">
        <v>244</v>
      </c>
      <c r="F1150" s="20">
        <v>98</v>
      </c>
      <c r="G1150" s="19">
        <f>F1150</f>
        <v>98</v>
      </c>
      <c r="H1150" s="20"/>
    </row>
    <row r="1151" spans="1:8" ht="36">
      <c r="A1151" s="36" t="s">
        <v>270</v>
      </c>
      <c r="B1151" s="17" t="s">
        <v>49</v>
      </c>
      <c r="C1151" s="17" t="s">
        <v>184</v>
      </c>
      <c r="D1151" s="17" t="s">
        <v>1006</v>
      </c>
      <c r="E1151" s="17" t="s">
        <v>312</v>
      </c>
      <c r="F1151" s="19">
        <f>F1152</f>
        <v>36894.50000000001</v>
      </c>
      <c r="G1151" s="19">
        <f t="shared" si="36"/>
        <v>36894.50000000001</v>
      </c>
      <c r="H1151" s="20"/>
    </row>
    <row r="1152" spans="1:8" ht="60">
      <c r="A1152" s="36" t="s">
        <v>1005</v>
      </c>
      <c r="B1152" s="17" t="s">
        <v>49</v>
      </c>
      <c r="C1152" s="17" t="s">
        <v>184</v>
      </c>
      <c r="D1152" s="17" t="s">
        <v>1006</v>
      </c>
      <c r="E1152" s="17" t="s">
        <v>1174</v>
      </c>
      <c r="F1152" s="19">
        <f>F1153+F1154</f>
        <v>36894.50000000001</v>
      </c>
      <c r="G1152" s="19">
        <f t="shared" si="36"/>
        <v>36894.50000000001</v>
      </c>
      <c r="H1152" s="20"/>
    </row>
    <row r="1153" spans="1:8" ht="84">
      <c r="A1153" s="36" t="s">
        <v>189</v>
      </c>
      <c r="B1153" s="17" t="s">
        <v>49</v>
      </c>
      <c r="C1153" s="17" t="s">
        <v>184</v>
      </c>
      <c r="D1153" s="17" t="s">
        <v>1006</v>
      </c>
      <c r="E1153" s="17" t="s">
        <v>1174</v>
      </c>
      <c r="F1153" s="20">
        <f>110+344.9+33921.8</f>
        <v>34376.700000000004</v>
      </c>
      <c r="G1153" s="19">
        <f>F1153-H1153</f>
        <v>34376.700000000004</v>
      </c>
      <c r="H1153" s="20"/>
    </row>
    <row r="1154" spans="1:8" ht="36">
      <c r="A1154" s="36" t="s">
        <v>517</v>
      </c>
      <c r="B1154" s="17" t="s">
        <v>49</v>
      </c>
      <c r="C1154" s="17" t="s">
        <v>184</v>
      </c>
      <c r="D1154" s="17" t="s">
        <v>1006</v>
      </c>
      <c r="E1154" s="17" t="s">
        <v>1174</v>
      </c>
      <c r="F1154" s="20">
        <v>2517.8</v>
      </c>
      <c r="G1154" s="19">
        <f>F1154-H1154</f>
        <v>2517.8</v>
      </c>
      <c r="H1154" s="20"/>
    </row>
    <row r="1155" spans="1:8" ht="66" customHeight="1">
      <c r="A1155" s="36" t="s">
        <v>609</v>
      </c>
      <c r="B1155" s="17" t="s">
        <v>49</v>
      </c>
      <c r="C1155" s="17" t="s">
        <v>184</v>
      </c>
      <c r="D1155" s="17" t="s">
        <v>1227</v>
      </c>
      <c r="E1155" s="17" t="s">
        <v>1204</v>
      </c>
      <c r="F1155" s="19">
        <f>F1156</f>
        <v>200</v>
      </c>
      <c r="G1155" s="19">
        <f>F1155-H1155</f>
        <v>200</v>
      </c>
      <c r="H1155" s="20"/>
    </row>
    <row r="1156" spans="1:8" ht="36">
      <c r="A1156" s="36" t="s">
        <v>459</v>
      </c>
      <c r="B1156" s="17" t="s">
        <v>49</v>
      </c>
      <c r="C1156" s="17" t="s">
        <v>184</v>
      </c>
      <c r="D1156" s="17" t="s">
        <v>1227</v>
      </c>
      <c r="E1156" s="17" t="s">
        <v>641</v>
      </c>
      <c r="F1156" s="19">
        <f>F1157</f>
        <v>200</v>
      </c>
      <c r="G1156" s="19">
        <f>F1156-H1156</f>
        <v>200</v>
      </c>
      <c r="H1156" s="20"/>
    </row>
    <row r="1157" spans="1:8" ht="24">
      <c r="A1157" s="18" t="s">
        <v>226</v>
      </c>
      <c r="B1157" s="17" t="s">
        <v>49</v>
      </c>
      <c r="C1157" s="17" t="s">
        <v>184</v>
      </c>
      <c r="D1157" s="17" t="s">
        <v>1227</v>
      </c>
      <c r="E1157" s="17" t="s">
        <v>419</v>
      </c>
      <c r="F1157" s="20">
        <v>200</v>
      </c>
      <c r="G1157" s="19">
        <f>F1157-H1157</f>
        <v>200</v>
      </c>
      <c r="H1157" s="20"/>
    </row>
    <row r="1158" spans="1:8" ht="15.75">
      <c r="A1158" s="78" t="s">
        <v>266</v>
      </c>
      <c r="B1158" s="17" t="s">
        <v>1342</v>
      </c>
      <c r="C1158" s="17"/>
      <c r="D1158" s="17"/>
      <c r="E1158" s="17"/>
      <c r="F1158" s="79">
        <f>F1159+F1173</f>
        <v>23673.9</v>
      </c>
      <c r="G1158" s="79">
        <f t="shared" si="36"/>
        <v>23673.9</v>
      </c>
      <c r="H1158" s="20"/>
    </row>
    <row r="1159" spans="1:8" ht="15">
      <c r="A1159" s="130" t="s">
        <v>82</v>
      </c>
      <c r="B1159" s="17" t="s">
        <v>1342</v>
      </c>
      <c r="C1159" s="17" t="s">
        <v>184</v>
      </c>
      <c r="D1159" s="21"/>
      <c r="E1159" s="21"/>
      <c r="F1159" s="19">
        <f>F1160</f>
        <v>11317.5</v>
      </c>
      <c r="G1159" s="19">
        <f t="shared" si="36"/>
        <v>11317.5</v>
      </c>
      <c r="H1159" s="20"/>
    </row>
    <row r="1160" spans="1:8" ht="36">
      <c r="A1160" s="32" t="s">
        <v>1044</v>
      </c>
      <c r="B1160" s="17" t="s">
        <v>1342</v>
      </c>
      <c r="C1160" s="17" t="s">
        <v>184</v>
      </c>
      <c r="D1160" s="17" t="s">
        <v>1374</v>
      </c>
      <c r="E1160" s="17"/>
      <c r="F1160" s="19">
        <f>F1161</f>
        <v>11317.5</v>
      </c>
      <c r="G1160" s="19">
        <f t="shared" si="36"/>
        <v>11317.5</v>
      </c>
      <c r="H1160" s="20"/>
    </row>
    <row r="1161" spans="1:8" ht="60">
      <c r="A1161" s="36" t="s">
        <v>1321</v>
      </c>
      <c r="B1161" s="17" t="s">
        <v>1342</v>
      </c>
      <c r="C1161" s="17" t="s">
        <v>184</v>
      </c>
      <c r="D1161" s="17" t="s">
        <v>1017</v>
      </c>
      <c r="E1161" s="17"/>
      <c r="F1161" s="19">
        <f>F1162</f>
        <v>11317.5</v>
      </c>
      <c r="G1161" s="19">
        <f t="shared" si="36"/>
        <v>11317.5</v>
      </c>
      <c r="H1161" s="20"/>
    </row>
    <row r="1162" spans="1:8" ht="24">
      <c r="A1162" s="18" t="s">
        <v>326</v>
      </c>
      <c r="B1162" s="17" t="s">
        <v>1342</v>
      </c>
      <c r="C1162" s="17" t="s">
        <v>184</v>
      </c>
      <c r="D1162" s="17" t="s">
        <v>1018</v>
      </c>
      <c r="E1162" s="17" t="s">
        <v>1204</v>
      </c>
      <c r="F1162" s="19">
        <f>F1163</f>
        <v>11317.5</v>
      </c>
      <c r="G1162" s="19">
        <f t="shared" si="36"/>
        <v>11317.5</v>
      </c>
      <c r="H1162" s="20">
        <f>H1163</f>
        <v>0</v>
      </c>
    </row>
    <row r="1163" spans="1:8" ht="36">
      <c r="A1163" s="36" t="s">
        <v>459</v>
      </c>
      <c r="B1163" s="17" t="s">
        <v>1342</v>
      </c>
      <c r="C1163" s="17" t="s">
        <v>184</v>
      </c>
      <c r="D1163" s="17" t="s">
        <v>1018</v>
      </c>
      <c r="E1163" s="17" t="s">
        <v>641</v>
      </c>
      <c r="F1163" s="19">
        <f>F1164</f>
        <v>11317.5</v>
      </c>
      <c r="G1163" s="19">
        <f t="shared" si="36"/>
        <v>11317.5</v>
      </c>
      <c r="H1163" s="20">
        <f>H1164</f>
        <v>0</v>
      </c>
    </row>
    <row r="1164" spans="1:8" ht="24">
      <c r="A1164" s="18" t="s">
        <v>390</v>
      </c>
      <c r="B1164" s="17" t="s">
        <v>1342</v>
      </c>
      <c r="C1164" s="17" t="s">
        <v>184</v>
      </c>
      <c r="D1164" s="17" t="s">
        <v>1018</v>
      </c>
      <c r="E1164" s="17" t="s">
        <v>419</v>
      </c>
      <c r="F1164" s="20">
        <f>9350+462.2+252.3+150+150+300+80+350+223</f>
        <v>11317.5</v>
      </c>
      <c r="G1164" s="19">
        <f t="shared" si="36"/>
        <v>11317.5</v>
      </c>
      <c r="H1164" s="20"/>
    </row>
    <row r="1165" spans="1:8" ht="36">
      <c r="A1165" s="18" t="s">
        <v>1215</v>
      </c>
      <c r="B1165" s="17" t="s">
        <v>1342</v>
      </c>
      <c r="C1165" s="17" t="s">
        <v>184</v>
      </c>
      <c r="D1165" s="17" t="s">
        <v>1018</v>
      </c>
      <c r="E1165" s="17" t="s">
        <v>419</v>
      </c>
      <c r="F1165" s="20">
        <v>462.2</v>
      </c>
      <c r="G1165" s="19">
        <f t="shared" si="36"/>
        <v>462.2</v>
      </c>
      <c r="H1165" s="20"/>
    </row>
    <row r="1166" spans="1:8" ht="24" hidden="1">
      <c r="A1166" s="18" t="s">
        <v>889</v>
      </c>
      <c r="B1166" s="17" t="s">
        <v>1342</v>
      </c>
      <c r="C1166" s="17" t="s">
        <v>184</v>
      </c>
      <c r="D1166" s="17" t="s">
        <v>1018</v>
      </c>
      <c r="E1166" s="17" t="s">
        <v>419</v>
      </c>
      <c r="F1166" s="20">
        <f>1116.4-1116.4</f>
        <v>0</v>
      </c>
      <c r="G1166" s="19">
        <f t="shared" si="36"/>
        <v>0</v>
      </c>
      <c r="H1166" s="20"/>
    </row>
    <row r="1167" spans="1:8" ht="24" hidden="1">
      <c r="A1167" s="18" t="s">
        <v>952</v>
      </c>
      <c r="B1167" s="17" t="s">
        <v>1342</v>
      </c>
      <c r="C1167" s="17" t="s">
        <v>184</v>
      </c>
      <c r="D1167" s="17" t="s">
        <v>1018</v>
      </c>
      <c r="E1167" s="17" t="s">
        <v>419</v>
      </c>
      <c r="F1167" s="20">
        <f>653-653</f>
        <v>0</v>
      </c>
      <c r="G1167" s="19">
        <f t="shared" si="36"/>
        <v>0</v>
      </c>
      <c r="H1167" s="20"/>
    </row>
    <row r="1168" spans="1:8" ht="33" customHeight="1">
      <c r="A1168" s="18" t="s">
        <v>294</v>
      </c>
      <c r="B1168" s="17" t="s">
        <v>1342</v>
      </c>
      <c r="C1168" s="17" t="s">
        <v>184</v>
      </c>
      <c r="D1168" s="17" t="s">
        <v>1018</v>
      </c>
      <c r="E1168" s="17" t="s">
        <v>419</v>
      </c>
      <c r="F1168" s="20">
        <f>252.3+150</f>
        <v>402.3</v>
      </c>
      <c r="G1168" s="19">
        <f t="shared" si="36"/>
        <v>402.3</v>
      </c>
      <c r="H1168" s="20"/>
    </row>
    <row r="1169" spans="1:8" ht="43.5" customHeight="1">
      <c r="A1169" s="18" t="s">
        <v>358</v>
      </c>
      <c r="B1169" s="17" t="s">
        <v>1342</v>
      </c>
      <c r="C1169" s="17" t="s">
        <v>184</v>
      </c>
      <c r="D1169" s="17" t="s">
        <v>1018</v>
      </c>
      <c r="E1169" s="17" t="s">
        <v>419</v>
      </c>
      <c r="F1169" s="20">
        <v>150</v>
      </c>
      <c r="G1169" s="19">
        <f t="shared" si="36"/>
        <v>150</v>
      </c>
      <c r="H1169" s="20"/>
    </row>
    <row r="1170" spans="1:8" ht="34.5" customHeight="1">
      <c r="A1170" s="18" t="s">
        <v>384</v>
      </c>
      <c r="B1170" s="17" t="s">
        <v>1342</v>
      </c>
      <c r="C1170" s="17" t="s">
        <v>184</v>
      </c>
      <c r="D1170" s="17" t="s">
        <v>1018</v>
      </c>
      <c r="E1170" s="17" t="s">
        <v>419</v>
      </c>
      <c r="F1170" s="20">
        <v>300</v>
      </c>
      <c r="G1170" s="19">
        <f t="shared" si="36"/>
        <v>300</v>
      </c>
      <c r="H1170" s="20"/>
    </row>
    <row r="1171" spans="1:8" ht="41.25" customHeight="1">
      <c r="A1171" s="18" t="s">
        <v>385</v>
      </c>
      <c r="B1171" s="17" t="s">
        <v>1342</v>
      </c>
      <c r="C1171" s="17" t="s">
        <v>184</v>
      </c>
      <c r="D1171" s="17" t="s">
        <v>1018</v>
      </c>
      <c r="E1171" s="17" t="s">
        <v>419</v>
      </c>
      <c r="F1171" s="20">
        <v>80</v>
      </c>
      <c r="G1171" s="19">
        <f t="shared" si="36"/>
        <v>80</v>
      </c>
      <c r="H1171" s="20"/>
    </row>
    <row r="1172" spans="1:8" ht="48" customHeight="1">
      <c r="A1172" s="18" t="s">
        <v>386</v>
      </c>
      <c r="B1172" s="17" t="s">
        <v>1342</v>
      </c>
      <c r="C1172" s="17" t="s">
        <v>184</v>
      </c>
      <c r="D1172" s="17" t="s">
        <v>1018</v>
      </c>
      <c r="E1172" s="17" t="s">
        <v>419</v>
      </c>
      <c r="F1172" s="20">
        <v>350</v>
      </c>
      <c r="G1172" s="19">
        <f t="shared" si="36"/>
        <v>350</v>
      </c>
      <c r="H1172" s="20"/>
    </row>
    <row r="1173" spans="1:8" ht="24">
      <c r="A1173" s="40" t="s">
        <v>83</v>
      </c>
      <c r="B1173" s="17" t="s">
        <v>1342</v>
      </c>
      <c r="C1173" s="17" t="s">
        <v>1154</v>
      </c>
      <c r="D1173" s="17"/>
      <c r="E1173" s="17"/>
      <c r="F1173" s="19">
        <f>F1174</f>
        <v>12356.4</v>
      </c>
      <c r="G1173" s="19">
        <f t="shared" si="36"/>
        <v>12356.4</v>
      </c>
      <c r="H1173" s="20"/>
    </row>
    <row r="1174" spans="1:8" ht="36">
      <c r="A1174" s="32" t="s">
        <v>1044</v>
      </c>
      <c r="B1174" s="17" t="s">
        <v>1342</v>
      </c>
      <c r="C1174" s="17" t="s">
        <v>1154</v>
      </c>
      <c r="D1174" s="17" t="s">
        <v>1374</v>
      </c>
      <c r="E1174" s="17"/>
      <c r="F1174" s="19">
        <f>F1175</f>
        <v>12356.4</v>
      </c>
      <c r="G1174" s="19">
        <f t="shared" si="36"/>
        <v>12356.4</v>
      </c>
      <c r="H1174" s="20"/>
    </row>
    <row r="1175" spans="1:8" ht="60">
      <c r="A1175" s="36" t="s">
        <v>1016</v>
      </c>
      <c r="B1175" s="17" t="s">
        <v>1342</v>
      </c>
      <c r="C1175" s="17" t="s">
        <v>1154</v>
      </c>
      <c r="D1175" s="17" t="s">
        <v>1017</v>
      </c>
      <c r="E1175" s="17"/>
      <c r="F1175" s="19">
        <f>F1176</f>
        <v>12356.4</v>
      </c>
      <c r="G1175" s="19">
        <f t="shared" si="36"/>
        <v>12356.4</v>
      </c>
      <c r="H1175" s="20"/>
    </row>
    <row r="1176" spans="1:8" ht="36">
      <c r="A1176" s="18" t="s">
        <v>346</v>
      </c>
      <c r="B1176" s="17" t="s">
        <v>1342</v>
      </c>
      <c r="C1176" s="17" t="s">
        <v>1154</v>
      </c>
      <c r="D1176" s="17" t="s">
        <v>1019</v>
      </c>
      <c r="E1176" s="17" t="s">
        <v>1204</v>
      </c>
      <c r="F1176" s="19">
        <f>F1177</f>
        <v>12356.4</v>
      </c>
      <c r="G1176" s="19">
        <f t="shared" si="36"/>
        <v>12356.4</v>
      </c>
      <c r="H1176" s="20">
        <f>H1177</f>
        <v>0</v>
      </c>
    </row>
    <row r="1177" spans="1:8" ht="36">
      <c r="A1177" s="36" t="s">
        <v>459</v>
      </c>
      <c r="B1177" s="17" t="s">
        <v>1342</v>
      </c>
      <c r="C1177" s="17" t="s">
        <v>1154</v>
      </c>
      <c r="D1177" s="17" t="s">
        <v>1019</v>
      </c>
      <c r="E1177" s="17" t="s">
        <v>641</v>
      </c>
      <c r="F1177" s="19">
        <f>F1178</f>
        <v>12356.4</v>
      </c>
      <c r="G1177" s="19">
        <f t="shared" si="36"/>
        <v>12356.4</v>
      </c>
      <c r="H1177" s="20">
        <f>H1178</f>
        <v>0</v>
      </c>
    </row>
    <row r="1178" spans="1:8" ht="24">
      <c r="A1178" s="18" t="s">
        <v>390</v>
      </c>
      <c r="B1178" s="17" t="s">
        <v>1342</v>
      </c>
      <c r="C1178" s="17" t="s">
        <v>1154</v>
      </c>
      <c r="D1178" s="17" t="s">
        <v>1019</v>
      </c>
      <c r="E1178" s="17" t="s">
        <v>419</v>
      </c>
      <c r="F1178" s="20">
        <f>10212-2025.5+960+250-140-0.1+2100+1000</f>
        <v>12356.4</v>
      </c>
      <c r="G1178" s="19">
        <f t="shared" si="36"/>
        <v>12356.4</v>
      </c>
      <c r="H1178" s="20"/>
    </row>
    <row r="1179" spans="1:8" ht="36">
      <c r="A1179" s="18" t="s">
        <v>758</v>
      </c>
      <c r="B1179" s="17" t="s">
        <v>1342</v>
      </c>
      <c r="C1179" s="17" t="s">
        <v>1154</v>
      </c>
      <c r="D1179" s="17" t="s">
        <v>1019</v>
      </c>
      <c r="E1179" s="17" t="s">
        <v>419</v>
      </c>
      <c r="F1179" s="20">
        <v>5596.4</v>
      </c>
      <c r="G1179" s="19">
        <f t="shared" si="36"/>
        <v>5596.4</v>
      </c>
      <c r="H1179" s="20"/>
    </row>
    <row r="1180" spans="1:8" ht="24" hidden="1">
      <c r="A1180" s="18" t="s">
        <v>487</v>
      </c>
      <c r="B1180" s="17" t="s">
        <v>1342</v>
      </c>
      <c r="C1180" s="17" t="s">
        <v>1154</v>
      </c>
      <c r="D1180" s="17" t="s">
        <v>1019</v>
      </c>
      <c r="E1180" s="17" t="s">
        <v>419</v>
      </c>
      <c r="F1180" s="20">
        <f>960-960</f>
        <v>0</v>
      </c>
      <c r="G1180" s="19">
        <f t="shared" si="36"/>
        <v>0</v>
      </c>
      <c r="H1180" s="20"/>
    </row>
    <row r="1181" spans="1:8" ht="24">
      <c r="A1181" s="18" t="s">
        <v>897</v>
      </c>
      <c r="B1181" s="17" t="s">
        <v>1342</v>
      </c>
      <c r="C1181" s="17" t="s">
        <v>1154</v>
      </c>
      <c r="D1181" s="17" t="s">
        <v>1019</v>
      </c>
      <c r="E1181" s="17" t="s">
        <v>419</v>
      </c>
      <c r="F1181" s="20">
        <f>250-140</f>
        <v>110</v>
      </c>
      <c r="G1181" s="19">
        <f t="shared" si="36"/>
        <v>110</v>
      </c>
      <c r="H1181" s="20"/>
    </row>
    <row r="1182" spans="1:8" ht="24" hidden="1">
      <c r="A1182" s="18" t="s">
        <v>889</v>
      </c>
      <c r="B1182" s="17" t="s">
        <v>1342</v>
      </c>
      <c r="C1182" s="17" t="s">
        <v>1154</v>
      </c>
      <c r="D1182" s="17" t="s">
        <v>1019</v>
      </c>
      <c r="E1182" s="17" t="s">
        <v>419</v>
      </c>
      <c r="F1182" s="20">
        <f>223-223</f>
        <v>0</v>
      </c>
      <c r="G1182" s="19">
        <f t="shared" si="36"/>
        <v>0</v>
      </c>
      <c r="H1182" s="20"/>
    </row>
    <row r="1183" spans="1:8" ht="24" hidden="1">
      <c r="A1183" s="18" t="s">
        <v>952</v>
      </c>
      <c r="B1183" s="17" t="s">
        <v>1342</v>
      </c>
      <c r="C1183" s="17" t="s">
        <v>1154</v>
      </c>
      <c r="D1183" s="17" t="s">
        <v>1019</v>
      </c>
      <c r="E1183" s="17" t="s">
        <v>419</v>
      </c>
      <c r="F1183" s="20">
        <f>104.8-104.8</f>
        <v>0</v>
      </c>
      <c r="G1183" s="19">
        <f t="shared" si="36"/>
        <v>0</v>
      </c>
      <c r="H1183" s="20"/>
    </row>
    <row r="1184" spans="1:8" ht="22.5" hidden="1">
      <c r="A1184" s="302" t="s">
        <v>1123</v>
      </c>
      <c r="B1184" s="303" t="s">
        <v>756</v>
      </c>
      <c r="C1184" s="304" t="s">
        <v>1334</v>
      </c>
      <c r="D1184" s="305"/>
      <c r="E1184" s="303"/>
      <c r="F1184" s="299">
        <f>F1185</f>
        <v>0</v>
      </c>
      <c r="G1184" s="299">
        <f t="shared" si="36"/>
        <v>0</v>
      </c>
      <c r="H1184" s="300"/>
    </row>
    <row r="1185" spans="1:8" ht="24" hidden="1">
      <c r="A1185" s="306" t="s">
        <v>265</v>
      </c>
      <c r="B1185" s="303" t="s">
        <v>756</v>
      </c>
      <c r="C1185" s="307" t="s">
        <v>184</v>
      </c>
      <c r="D1185" s="303" t="s">
        <v>780</v>
      </c>
      <c r="E1185" s="308"/>
      <c r="F1185" s="301">
        <f>F1187+F1188</f>
        <v>0</v>
      </c>
      <c r="G1185" s="301">
        <f t="shared" si="36"/>
        <v>0</v>
      </c>
      <c r="H1185" s="301">
        <f>H1187+H1188</f>
        <v>0</v>
      </c>
    </row>
    <row r="1186" spans="1:8" ht="24" hidden="1">
      <c r="A1186" s="309" t="s">
        <v>636</v>
      </c>
      <c r="B1186" s="303" t="s">
        <v>756</v>
      </c>
      <c r="C1186" s="307" t="s">
        <v>184</v>
      </c>
      <c r="D1186" s="303" t="s">
        <v>780</v>
      </c>
      <c r="E1186" s="308" t="s">
        <v>313</v>
      </c>
      <c r="F1186" s="301">
        <f>F1187</f>
        <v>0</v>
      </c>
      <c r="G1186" s="301">
        <f t="shared" si="36"/>
        <v>0</v>
      </c>
      <c r="H1186" s="301"/>
    </row>
    <row r="1187" spans="1:8" ht="15" hidden="1">
      <c r="A1187" s="310" t="s">
        <v>1047</v>
      </c>
      <c r="B1187" s="303" t="s">
        <v>756</v>
      </c>
      <c r="C1187" s="307" t="s">
        <v>184</v>
      </c>
      <c r="D1187" s="303" t="s">
        <v>780</v>
      </c>
      <c r="E1187" s="308" t="s">
        <v>1092</v>
      </c>
      <c r="F1187" s="300">
        <v>0</v>
      </c>
      <c r="G1187" s="301">
        <f t="shared" si="36"/>
        <v>0</v>
      </c>
      <c r="H1187" s="300"/>
    </row>
    <row r="1188" spans="1:8" ht="15" hidden="1">
      <c r="A1188" s="311" t="s">
        <v>1189</v>
      </c>
      <c r="B1188" s="303" t="s">
        <v>756</v>
      </c>
      <c r="C1188" s="307" t="s">
        <v>184</v>
      </c>
      <c r="D1188" s="303" t="s">
        <v>780</v>
      </c>
      <c r="E1188" s="308" t="s">
        <v>1190</v>
      </c>
      <c r="F1188" s="301">
        <f>F1189</f>
        <v>0</v>
      </c>
      <c r="G1188" s="301">
        <f t="shared" si="36"/>
        <v>0</v>
      </c>
      <c r="H1188" s="301">
        <f>H1189</f>
        <v>0</v>
      </c>
    </row>
    <row r="1189" spans="1:8" ht="48" hidden="1">
      <c r="A1189" s="310" t="s">
        <v>878</v>
      </c>
      <c r="B1189" s="303" t="s">
        <v>756</v>
      </c>
      <c r="C1189" s="307" t="s">
        <v>184</v>
      </c>
      <c r="D1189" s="303" t="s">
        <v>780</v>
      </c>
      <c r="E1189" s="308" t="s">
        <v>1042</v>
      </c>
      <c r="F1189" s="300">
        <v>0</v>
      </c>
      <c r="G1189" s="301">
        <f t="shared" si="36"/>
        <v>0</v>
      </c>
      <c r="H1189" s="300"/>
    </row>
    <row r="1190" spans="1:8" ht="63.75">
      <c r="A1190" s="24" t="s">
        <v>335</v>
      </c>
      <c r="B1190" s="21" t="s">
        <v>191</v>
      </c>
      <c r="C1190" s="222"/>
      <c r="D1190" s="21"/>
      <c r="E1190" s="220"/>
      <c r="F1190" s="79">
        <f>F1191</f>
        <v>130984</v>
      </c>
      <c r="G1190" s="79">
        <f t="shared" si="36"/>
        <v>130984</v>
      </c>
      <c r="H1190" s="20"/>
    </row>
    <row r="1191" spans="1:8" ht="24">
      <c r="A1191" s="31" t="s">
        <v>1359</v>
      </c>
      <c r="B1191" s="17" t="s">
        <v>191</v>
      </c>
      <c r="C1191" s="221" t="s">
        <v>1340</v>
      </c>
      <c r="D1191" s="17"/>
      <c r="E1191" s="172"/>
      <c r="F1191" s="19">
        <f>F1192</f>
        <v>130984</v>
      </c>
      <c r="G1191" s="19">
        <f t="shared" si="36"/>
        <v>130984</v>
      </c>
      <c r="H1191" s="20"/>
    </row>
    <row r="1192" spans="1:8" ht="48">
      <c r="A1192" s="36" t="s">
        <v>1176</v>
      </c>
      <c r="B1192" s="17" t="s">
        <v>191</v>
      </c>
      <c r="C1192" s="221" t="s">
        <v>1340</v>
      </c>
      <c r="D1192" s="17" t="s">
        <v>650</v>
      </c>
      <c r="E1192" s="172" t="s">
        <v>1204</v>
      </c>
      <c r="F1192" s="19">
        <f>F1193</f>
        <v>130984</v>
      </c>
      <c r="G1192" s="19">
        <f t="shared" si="36"/>
        <v>130984</v>
      </c>
      <c r="H1192" s="20"/>
    </row>
    <row r="1193" spans="1:8" ht="24">
      <c r="A1193" s="36" t="s">
        <v>639</v>
      </c>
      <c r="B1193" s="17" t="s">
        <v>191</v>
      </c>
      <c r="C1193" s="221" t="s">
        <v>1340</v>
      </c>
      <c r="D1193" s="17" t="s">
        <v>650</v>
      </c>
      <c r="E1193" s="172" t="s">
        <v>637</v>
      </c>
      <c r="F1193" s="19">
        <f>F1194</f>
        <v>130984</v>
      </c>
      <c r="G1193" s="19">
        <f t="shared" si="36"/>
        <v>130984</v>
      </c>
      <c r="H1193" s="20"/>
    </row>
    <row r="1194" spans="1:8" ht="24">
      <c r="A1194" s="36" t="s">
        <v>640</v>
      </c>
      <c r="B1194" s="17" t="s">
        <v>191</v>
      </c>
      <c r="C1194" s="221" t="s">
        <v>1340</v>
      </c>
      <c r="D1194" s="17" t="s">
        <v>650</v>
      </c>
      <c r="E1194" s="172" t="s">
        <v>638</v>
      </c>
      <c r="F1194" s="20">
        <v>130984</v>
      </c>
      <c r="G1194" s="19">
        <f t="shared" si="36"/>
        <v>130984</v>
      </c>
      <c r="H1194" s="20"/>
    </row>
    <row r="1195" spans="1:8" ht="60" hidden="1">
      <c r="A1195" s="36" t="s">
        <v>323</v>
      </c>
      <c r="B1195" s="17" t="s">
        <v>191</v>
      </c>
      <c r="C1195" s="221" t="s">
        <v>1340</v>
      </c>
      <c r="D1195" s="17" t="s">
        <v>650</v>
      </c>
      <c r="E1195" s="172" t="s">
        <v>324</v>
      </c>
      <c r="F1195" s="20">
        <v>130984</v>
      </c>
      <c r="G1195" s="19">
        <f t="shared" si="36"/>
        <v>130984</v>
      </c>
      <c r="H1195" s="20"/>
    </row>
    <row r="1196" spans="1:8" ht="28.5" customHeight="1">
      <c r="A1196" s="323" t="s">
        <v>1053</v>
      </c>
      <c r="B1196" s="324"/>
      <c r="C1196" s="324"/>
      <c r="D1196" s="324"/>
      <c r="E1196" s="324"/>
      <c r="F1196" s="324"/>
      <c r="G1196" s="324"/>
      <c r="H1196" s="325"/>
    </row>
    <row r="1197" spans="1:8" ht="15">
      <c r="A1197" s="107"/>
      <c r="F1197" s="290"/>
      <c r="G1197" s="16"/>
      <c r="H1197" s="16"/>
    </row>
    <row r="1198" spans="7:8" ht="15">
      <c r="G1198" s="16"/>
      <c r="H1198" s="16"/>
    </row>
    <row r="1199" spans="7:8" ht="15">
      <c r="G1199" s="16"/>
      <c r="H1199" s="16"/>
    </row>
    <row r="1200" spans="7:8" ht="15">
      <c r="G1200" s="16"/>
      <c r="H1200" s="16"/>
    </row>
    <row r="1201" spans="7:8" ht="15">
      <c r="G1201" s="16"/>
      <c r="H1201" s="16"/>
    </row>
    <row r="1202" spans="7:8" ht="15">
      <c r="G1202" s="16"/>
      <c r="H1202" s="16"/>
    </row>
    <row r="1203" spans="7:8" ht="15">
      <c r="G1203" s="16"/>
      <c r="H1203" s="16"/>
    </row>
    <row r="1204" spans="7:8" ht="15">
      <c r="G1204" s="16"/>
      <c r="H1204" s="16"/>
    </row>
    <row r="1205" spans="7:8" ht="15">
      <c r="G1205" s="16"/>
      <c r="H1205" s="16"/>
    </row>
    <row r="1206" spans="7:8" ht="15">
      <c r="G1206" s="16"/>
      <c r="H1206" s="16"/>
    </row>
    <row r="1207" spans="7:8" ht="15">
      <c r="G1207" s="16"/>
      <c r="H1207" s="16"/>
    </row>
    <row r="1208" spans="7:8" ht="15">
      <c r="G1208" s="16"/>
      <c r="H1208" s="16"/>
    </row>
    <row r="1209" spans="7:8" ht="15">
      <c r="G1209" s="16"/>
      <c r="H1209" s="16"/>
    </row>
    <row r="1210" spans="7:8" ht="50.25" customHeight="1">
      <c r="G1210" s="16"/>
      <c r="H1210" s="16"/>
    </row>
    <row r="1211" spans="7:8" ht="15">
      <c r="G1211" s="16"/>
      <c r="H1211" s="16"/>
    </row>
    <row r="1212" spans="7:8" ht="15">
      <c r="G1212" s="16"/>
      <c r="H1212" s="16"/>
    </row>
    <row r="1213" spans="7:8" ht="15">
      <c r="G1213" s="16"/>
      <c r="H1213" s="16"/>
    </row>
    <row r="1214" spans="7:8" ht="15">
      <c r="G1214" s="16"/>
      <c r="H1214" s="16"/>
    </row>
    <row r="1215" spans="7:8" ht="15">
      <c r="G1215" s="16"/>
      <c r="H1215" s="16"/>
    </row>
    <row r="1216" spans="7:8" ht="15">
      <c r="G1216" s="16"/>
      <c r="H1216" s="16"/>
    </row>
    <row r="1217" spans="7:8" ht="15">
      <c r="G1217" s="16"/>
      <c r="H1217" s="16"/>
    </row>
    <row r="1218" spans="7:8" ht="15">
      <c r="G1218" s="16"/>
      <c r="H1218" s="16"/>
    </row>
    <row r="1219" spans="7:8" ht="15">
      <c r="G1219" s="16"/>
      <c r="H1219" s="16"/>
    </row>
    <row r="1220" spans="7:8" ht="15">
      <c r="G1220" s="16"/>
      <c r="H1220" s="16"/>
    </row>
    <row r="1221" spans="7:8" ht="15">
      <c r="G1221" s="16"/>
      <c r="H1221" s="16"/>
    </row>
    <row r="1222" spans="7:8" ht="18" customHeight="1">
      <c r="G1222" s="16"/>
      <c r="H1222" s="16"/>
    </row>
    <row r="1223" spans="7:8" ht="15">
      <c r="G1223" s="16"/>
      <c r="H1223" s="16"/>
    </row>
    <row r="1224" spans="7:8" ht="15">
      <c r="G1224" s="16"/>
      <c r="H1224" s="16"/>
    </row>
    <row r="1225" spans="7:8" ht="15">
      <c r="G1225" s="16"/>
      <c r="H1225" s="16"/>
    </row>
    <row r="1226" spans="7:8" ht="15">
      <c r="G1226" s="16"/>
      <c r="H1226" s="16"/>
    </row>
    <row r="1227" spans="7:8" ht="15">
      <c r="G1227" s="16"/>
      <c r="H1227" s="16"/>
    </row>
    <row r="1228" spans="7:8" ht="15">
      <c r="G1228" s="16"/>
      <c r="H1228" s="16"/>
    </row>
    <row r="1229" spans="7:8" ht="15">
      <c r="G1229" s="16"/>
      <c r="H1229" s="16"/>
    </row>
    <row r="1230" spans="7:8" ht="15">
      <c r="G1230" s="16"/>
      <c r="H1230" s="16"/>
    </row>
    <row r="1231" spans="7:8" ht="15">
      <c r="G1231" s="16"/>
      <c r="H1231" s="16"/>
    </row>
    <row r="1232" spans="7:8" ht="15">
      <c r="G1232" s="16"/>
      <c r="H1232" s="16"/>
    </row>
    <row r="1233" spans="7:8" ht="15">
      <c r="G1233" s="16"/>
      <c r="H1233" s="16"/>
    </row>
    <row r="1234" spans="7:8" ht="15">
      <c r="G1234" s="16"/>
      <c r="H1234" s="16"/>
    </row>
    <row r="1235" spans="7:8" ht="15">
      <c r="G1235" s="16"/>
      <c r="H1235" s="16"/>
    </row>
    <row r="1236" spans="7:8" ht="15">
      <c r="G1236" s="16"/>
      <c r="H1236" s="16"/>
    </row>
    <row r="1237" spans="7:8" ht="15">
      <c r="G1237" s="16"/>
      <c r="H1237" s="16"/>
    </row>
    <row r="1238" spans="7:8" ht="15">
      <c r="G1238" s="16"/>
      <c r="H1238" s="16"/>
    </row>
    <row r="1239" spans="7:8" ht="15">
      <c r="G1239" s="16"/>
      <c r="H1239" s="16"/>
    </row>
    <row r="1240" spans="7:8" ht="15">
      <c r="G1240" s="16"/>
      <c r="H1240" s="16"/>
    </row>
    <row r="1241" spans="7:8" ht="15">
      <c r="G1241" s="16"/>
      <c r="H1241" s="16"/>
    </row>
    <row r="1242" spans="7:8" ht="15">
      <c r="G1242" s="16"/>
      <c r="H1242" s="16"/>
    </row>
    <row r="1243" spans="7:8" ht="15">
      <c r="G1243" s="16"/>
      <c r="H1243" s="16"/>
    </row>
    <row r="1244" spans="7:8" ht="15">
      <c r="G1244" s="16"/>
      <c r="H1244" s="16"/>
    </row>
    <row r="1245" spans="7:8" ht="15">
      <c r="G1245" s="16"/>
      <c r="H1245" s="16"/>
    </row>
    <row r="1246" spans="7:8" ht="15">
      <c r="G1246" s="16"/>
      <c r="H1246" s="16"/>
    </row>
    <row r="1247" spans="7:8" ht="15">
      <c r="G1247" s="16"/>
      <c r="H1247" s="16"/>
    </row>
    <row r="1248" spans="7:8" ht="15">
      <c r="G1248" s="16"/>
      <c r="H1248" s="16"/>
    </row>
    <row r="1249" spans="7:8" ht="15">
      <c r="G1249" s="16"/>
      <c r="H1249" s="16"/>
    </row>
    <row r="1250" spans="7:8" ht="15">
      <c r="G1250" s="16"/>
      <c r="H1250" s="16"/>
    </row>
    <row r="1251" spans="7:8" ht="15">
      <c r="G1251" s="16"/>
      <c r="H1251" s="16"/>
    </row>
    <row r="1252" spans="7:8" ht="15">
      <c r="G1252" s="16"/>
      <c r="H1252" s="16"/>
    </row>
    <row r="1253" spans="7:8" ht="15">
      <c r="G1253" s="16"/>
      <c r="H1253" s="16"/>
    </row>
    <row r="1254" spans="7:8" ht="15">
      <c r="G1254" s="16"/>
      <c r="H1254" s="16"/>
    </row>
    <row r="1255" spans="7:8" ht="15">
      <c r="G1255" s="16"/>
      <c r="H1255" s="16"/>
    </row>
    <row r="1256" spans="7:8" ht="15">
      <c r="G1256" s="16"/>
      <c r="H1256" s="16"/>
    </row>
    <row r="1257" spans="7:8" ht="15">
      <c r="G1257" s="16"/>
      <c r="H1257" s="16"/>
    </row>
    <row r="1258" spans="7:8" ht="15">
      <c r="G1258" s="16"/>
      <c r="H1258" s="16"/>
    </row>
    <row r="1259" spans="7:8" ht="15">
      <c r="G1259" s="16"/>
      <c r="H1259" s="16"/>
    </row>
    <row r="1260" spans="7:8" ht="15">
      <c r="G1260" s="16"/>
      <c r="H1260" s="16"/>
    </row>
    <row r="1261" spans="7:8" ht="15">
      <c r="G1261" s="16"/>
      <c r="H1261" s="16"/>
    </row>
    <row r="1262" spans="7:8" ht="15">
      <c r="G1262" s="16"/>
      <c r="H1262" s="16"/>
    </row>
    <row r="1263" spans="7:8" ht="15">
      <c r="G1263" s="16"/>
      <c r="H1263" s="16"/>
    </row>
    <row r="1264" spans="7:8" ht="15">
      <c r="G1264" s="16"/>
      <c r="H1264" s="16"/>
    </row>
    <row r="1265" spans="7:8" ht="15">
      <c r="G1265" s="16"/>
      <c r="H1265" s="16"/>
    </row>
    <row r="1266" spans="7:8" ht="15">
      <c r="G1266" s="16"/>
      <c r="H1266" s="16"/>
    </row>
    <row r="1267" spans="7:8" ht="15">
      <c r="G1267" s="16"/>
      <c r="H1267" s="16"/>
    </row>
    <row r="1268" spans="7:8" ht="15">
      <c r="G1268" s="16"/>
      <c r="H1268" s="16"/>
    </row>
    <row r="1269" spans="7:8" ht="15">
      <c r="G1269" s="16"/>
      <c r="H1269" s="16"/>
    </row>
    <row r="1270" spans="7:8" ht="15">
      <c r="G1270" s="16"/>
      <c r="H1270" s="16"/>
    </row>
    <row r="1271" spans="7:8" ht="15">
      <c r="G1271" s="16"/>
      <c r="H1271" s="16"/>
    </row>
    <row r="1272" spans="7:8" ht="15">
      <c r="G1272" s="16"/>
      <c r="H1272" s="16"/>
    </row>
    <row r="1273" spans="7:8" ht="15">
      <c r="G1273" s="16"/>
      <c r="H1273" s="16"/>
    </row>
    <row r="1274" spans="7:8" ht="15">
      <c r="G1274" s="16"/>
      <c r="H1274" s="16"/>
    </row>
    <row r="1275" spans="7:8" ht="15">
      <c r="G1275" s="16"/>
      <c r="H1275" s="16"/>
    </row>
    <row r="1276" spans="7:8" ht="15">
      <c r="G1276" s="16"/>
      <c r="H1276" s="16"/>
    </row>
    <row r="1277" spans="7:8" ht="15">
      <c r="G1277" s="16"/>
      <c r="H1277" s="16"/>
    </row>
    <row r="1278" spans="7:8" ht="15">
      <c r="G1278" s="16"/>
      <c r="H1278" s="16"/>
    </row>
    <row r="1279" spans="7:8" ht="15">
      <c r="G1279" s="16"/>
      <c r="H1279" s="16"/>
    </row>
    <row r="1280" spans="7:8" ht="15">
      <c r="G1280" s="16"/>
      <c r="H1280" s="16"/>
    </row>
    <row r="1281" spans="7:8" ht="15">
      <c r="G1281" s="16"/>
      <c r="H1281" s="16"/>
    </row>
    <row r="1282" spans="7:8" ht="15">
      <c r="G1282" s="16"/>
      <c r="H1282" s="16"/>
    </row>
    <row r="1283" spans="7:8" ht="15">
      <c r="G1283" s="16"/>
      <c r="H1283" s="16"/>
    </row>
    <row r="1284" spans="7:8" ht="15">
      <c r="G1284" s="16"/>
      <c r="H1284" s="16"/>
    </row>
    <row r="1285" spans="7:8" ht="15">
      <c r="G1285" s="16"/>
      <c r="H1285" s="16"/>
    </row>
    <row r="1286" spans="7:8" ht="15">
      <c r="G1286" s="16"/>
      <c r="H1286" s="16"/>
    </row>
    <row r="1287" spans="7:8" ht="15">
      <c r="G1287" s="16"/>
      <c r="H1287" s="16"/>
    </row>
    <row r="1288" spans="7:8" ht="15">
      <c r="G1288" s="16"/>
      <c r="H1288" s="16"/>
    </row>
    <row r="1289" spans="7:8" ht="15">
      <c r="G1289" s="16"/>
      <c r="H1289" s="16"/>
    </row>
    <row r="1290" spans="7:8" ht="15">
      <c r="G1290" s="16"/>
      <c r="H1290" s="16"/>
    </row>
    <row r="1291" spans="7:8" ht="15">
      <c r="G1291" s="16"/>
      <c r="H1291" s="16"/>
    </row>
    <row r="1292" spans="7:8" ht="15">
      <c r="G1292" s="16"/>
      <c r="H1292" s="16"/>
    </row>
    <row r="1293" spans="7:8" ht="15">
      <c r="G1293" s="16"/>
      <c r="H1293" s="16"/>
    </row>
    <row r="1294" spans="7:8" ht="15">
      <c r="G1294" s="16"/>
      <c r="H1294" s="16"/>
    </row>
    <row r="1295" spans="7:8" ht="15">
      <c r="G1295" s="16"/>
      <c r="H1295" s="16"/>
    </row>
    <row r="1296" spans="7:8" ht="15">
      <c r="G1296" s="16"/>
      <c r="H1296" s="16"/>
    </row>
    <row r="1297" spans="7:8" ht="15">
      <c r="G1297" s="16"/>
      <c r="H1297" s="16"/>
    </row>
    <row r="1298" spans="7:8" ht="15">
      <c r="G1298" s="16"/>
      <c r="H1298" s="16"/>
    </row>
    <row r="1299" spans="7:8" ht="15">
      <c r="G1299" s="16"/>
      <c r="H1299" s="16"/>
    </row>
    <row r="1300" spans="7:8" ht="15">
      <c r="G1300" s="16"/>
      <c r="H1300" s="16"/>
    </row>
    <row r="1301" spans="7:8" ht="15">
      <c r="G1301" s="16"/>
      <c r="H1301" s="16"/>
    </row>
    <row r="1302" spans="7:8" ht="15">
      <c r="G1302" s="16"/>
      <c r="H1302" s="16"/>
    </row>
    <row r="1303" spans="7:8" ht="15">
      <c r="G1303" s="16"/>
      <c r="H1303" s="16"/>
    </row>
    <row r="1304" spans="7:8" ht="15">
      <c r="G1304" s="16"/>
      <c r="H1304" s="16"/>
    </row>
    <row r="1305" spans="7:8" ht="15">
      <c r="G1305" s="16"/>
      <c r="H1305" s="16"/>
    </row>
    <row r="1306" spans="7:8" ht="15">
      <c r="G1306" s="16"/>
      <c r="H1306" s="16"/>
    </row>
    <row r="1307" spans="7:8" ht="15">
      <c r="G1307" s="16"/>
      <c r="H1307" s="16"/>
    </row>
    <row r="1308" spans="7:8" ht="15">
      <c r="G1308" s="16"/>
      <c r="H1308" s="16"/>
    </row>
    <row r="1309" spans="7:8" ht="15">
      <c r="G1309" s="16"/>
      <c r="H1309" s="16"/>
    </row>
    <row r="1310" spans="7:8" ht="15">
      <c r="G1310" s="16"/>
      <c r="H1310" s="16"/>
    </row>
    <row r="1311" spans="7:8" ht="15">
      <c r="G1311" s="16"/>
      <c r="H1311" s="16"/>
    </row>
    <row r="1312" spans="7:8" ht="15">
      <c r="G1312" s="16"/>
      <c r="H1312" s="16"/>
    </row>
    <row r="1313" spans="7:8" ht="15">
      <c r="G1313" s="16"/>
      <c r="H1313" s="16"/>
    </row>
    <row r="1314" spans="7:8" ht="15">
      <c r="G1314" s="16"/>
      <c r="H1314" s="16"/>
    </row>
    <row r="1315" spans="7:8" ht="15">
      <c r="G1315" s="16"/>
      <c r="H1315" s="16"/>
    </row>
    <row r="1316" spans="7:8" ht="15">
      <c r="G1316" s="16"/>
      <c r="H1316" s="16"/>
    </row>
    <row r="1317" spans="7:8" ht="15">
      <c r="G1317" s="16"/>
      <c r="H1317" s="16"/>
    </row>
    <row r="1318" spans="7:8" ht="15">
      <c r="G1318" s="16"/>
      <c r="H1318" s="16"/>
    </row>
    <row r="1319" spans="7:8" ht="15">
      <c r="G1319" s="16"/>
      <c r="H1319" s="16"/>
    </row>
    <row r="1320" spans="7:8" ht="15">
      <c r="G1320" s="16"/>
      <c r="H1320" s="16"/>
    </row>
    <row r="1321" spans="7:8" ht="15">
      <c r="G1321" s="16"/>
      <c r="H1321" s="16"/>
    </row>
    <row r="1322" spans="7:8" ht="15">
      <c r="G1322" s="16"/>
      <c r="H1322" s="16"/>
    </row>
    <row r="1323" spans="7:8" ht="15">
      <c r="G1323" s="16"/>
      <c r="H1323" s="16"/>
    </row>
    <row r="1324" spans="7:8" ht="15">
      <c r="G1324" s="16"/>
      <c r="H1324" s="16"/>
    </row>
    <row r="1325" spans="7:8" ht="15">
      <c r="G1325" s="16"/>
      <c r="H1325" s="16"/>
    </row>
    <row r="1326" spans="7:8" ht="15">
      <c r="G1326" s="16"/>
      <c r="H1326" s="16"/>
    </row>
    <row r="1327" spans="7:8" ht="15">
      <c r="G1327" s="16"/>
      <c r="H1327" s="16"/>
    </row>
    <row r="1328" spans="7:8" ht="15">
      <c r="G1328" s="16"/>
      <c r="H1328" s="16"/>
    </row>
    <row r="1329" spans="7:8" ht="15">
      <c r="G1329" s="16"/>
      <c r="H1329" s="16"/>
    </row>
    <row r="1330" spans="7:8" ht="15">
      <c r="G1330" s="16"/>
      <c r="H1330" s="16"/>
    </row>
    <row r="1331" spans="7:8" ht="15">
      <c r="G1331" s="16"/>
      <c r="H1331" s="16"/>
    </row>
    <row r="1332" spans="7:8" ht="15">
      <c r="G1332" s="16"/>
      <c r="H1332" s="16"/>
    </row>
    <row r="1333" spans="7:8" ht="15">
      <c r="G1333" s="16"/>
      <c r="H1333" s="16"/>
    </row>
    <row r="1334" spans="7:8" ht="15">
      <c r="G1334" s="16"/>
      <c r="H1334" s="16"/>
    </row>
    <row r="1335" spans="7:8" ht="15">
      <c r="G1335" s="16"/>
      <c r="H1335" s="16"/>
    </row>
    <row r="1336" spans="7:8" ht="15">
      <c r="G1336" s="16"/>
      <c r="H1336" s="16"/>
    </row>
    <row r="1337" spans="7:8" ht="15">
      <c r="G1337" s="16"/>
      <c r="H1337" s="16"/>
    </row>
    <row r="1338" spans="7:8" ht="15">
      <c r="G1338" s="16"/>
      <c r="H1338" s="16"/>
    </row>
    <row r="1339" spans="7:8" ht="15">
      <c r="G1339" s="16"/>
      <c r="H1339" s="16"/>
    </row>
    <row r="1340" spans="7:8" ht="15">
      <c r="G1340" s="16"/>
      <c r="H1340" s="16"/>
    </row>
    <row r="1341" spans="7:8" ht="15">
      <c r="G1341" s="16"/>
      <c r="H1341" s="16"/>
    </row>
    <row r="1342" spans="7:8" ht="15">
      <c r="G1342" s="16"/>
      <c r="H1342" s="16"/>
    </row>
    <row r="1343" spans="7:8" ht="15">
      <c r="G1343" s="16"/>
      <c r="H1343" s="16"/>
    </row>
    <row r="1344" spans="7:8" ht="15">
      <c r="G1344" s="16"/>
      <c r="H1344" s="16"/>
    </row>
    <row r="1345" spans="7:8" ht="15">
      <c r="G1345" s="16"/>
      <c r="H1345" s="16"/>
    </row>
    <row r="1346" spans="7:8" ht="15">
      <c r="G1346" s="16"/>
      <c r="H1346" s="16"/>
    </row>
    <row r="1347" spans="7:8" ht="15">
      <c r="G1347" s="16"/>
      <c r="H1347" s="16"/>
    </row>
    <row r="1348" spans="7:8" ht="15">
      <c r="G1348" s="16"/>
      <c r="H1348" s="16"/>
    </row>
    <row r="1349" spans="7:8" ht="15">
      <c r="G1349" s="16"/>
      <c r="H1349" s="16"/>
    </row>
    <row r="1350" spans="7:8" ht="15">
      <c r="G1350" s="16"/>
      <c r="H1350" s="16"/>
    </row>
    <row r="1351" spans="7:8" ht="15">
      <c r="G1351" s="16"/>
      <c r="H1351" s="16"/>
    </row>
    <row r="1352" spans="7:8" ht="15">
      <c r="G1352" s="16"/>
      <c r="H1352" s="16"/>
    </row>
    <row r="1353" spans="7:8" ht="15">
      <c r="G1353" s="16"/>
      <c r="H1353" s="16"/>
    </row>
    <row r="1354" spans="7:8" ht="15">
      <c r="G1354" s="16"/>
      <c r="H1354" s="16"/>
    </row>
    <row r="1355" spans="7:8" ht="15">
      <c r="G1355" s="16"/>
      <c r="H1355" s="16"/>
    </row>
    <row r="1356" spans="7:8" ht="15">
      <c r="G1356" s="16"/>
      <c r="H1356" s="16"/>
    </row>
    <row r="1357" spans="7:8" ht="15">
      <c r="G1357" s="16"/>
      <c r="H1357" s="16"/>
    </row>
    <row r="1358" spans="7:8" ht="15">
      <c r="G1358" s="16"/>
      <c r="H1358" s="16"/>
    </row>
    <row r="1359" spans="7:8" ht="15">
      <c r="G1359" s="16"/>
      <c r="H1359" s="16"/>
    </row>
    <row r="1360" spans="7:8" ht="15">
      <c r="G1360" s="16"/>
      <c r="H1360" s="16"/>
    </row>
    <row r="1361" spans="7:8" ht="15">
      <c r="G1361" s="16"/>
      <c r="H1361" s="16"/>
    </row>
    <row r="1362" spans="7:8" ht="15">
      <c r="G1362" s="16"/>
      <c r="H1362" s="16"/>
    </row>
    <row r="1363" spans="7:8" ht="15">
      <c r="G1363" s="16"/>
      <c r="H1363" s="16"/>
    </row>
    <row r="1364" spans="7:8" ht="15">
      <c r="G1364" s="16"/>
      <c r="H1364" s="16"/>
    </row>
    <row r="1365" spans="7:8" ht="15">
      <c r="G1365" s="16"/>
      <c r="H1365" s="16"/>
    </row>
    <row r="1366" spans="7:8" ht="15">
      <c r="G1366" s="16"/>
      <c r="H1366" s="16"/>
    </row>
    <row r="1367" spans="7:8" ht="15">
      <c r="G1367" s="16"/>
      <c r="H1367" s="16"/>
    </row>
    <row r="1368" spans="7:8" ht="15">
      <c r="G1368" s="16"/>
      <c r="H1368" s="16"/>
    </row>
    <row r="1369" spans="7:8" ht="15">
      <c r="G1369" s="16"/>
      <c r="H1369" s="16"/>
    </row>
    <row r="1370" spans="7:8" ht="15">
      <c r="G1370" s="16"/>
      <c r="H1370" s="16"/>
    </row>
    <row r="1371" spans="7:8" ht="15">
      <c r="G1371" s="16"/>
      <c r="H1371" s="16"/>
    </row>
    <row r="1372" spans="7:8" ht="15">
      <c r="G1372" s="16"/>
      <c r="H1372" s="16"/>
    </row>
    <row r="1373" spans="7:8" ht="15">
      <c r="G1373" s="16"/>
      <c r="H1373" s="16"/>
    </row>
    <row r="1374" spans="7:8" ht="15">
      <c r="G1374" s="16"/>
      <c r="H1374" s="16"/>
    </row>
    <row r="1375" spans="7:8" ht="15">
      <c r="G1375" s="16"/>
      <c r="H1375" s="16"/>
    </row>
    <row r="1376" spans="7:8" ht="15">
      <c r="G1376" s="16"/>
      <c r="H1376" s="16"/>
    </row>
    <row r="1377" spans="7:8" ht="15">
      <c r="G1377" s="16"/>
      <c r="H1377" s="16"/>
    </row>
    <row r="1378" spans="7:8" ht="15">
      <c r="G1378" s="16"/>
      <c r="H1378" s="16"/>
    </row>
    <row r="1379" spans="7:8" ht="15">
      <c r="G1379" s="16"/>
      <c r="H1379" s="16"/>
    </row>
    <row r="1380" spans="7:8" ht="15">
      <c r="G1380" s="16"/>
      <c r="H1380" s="16"/>
    </row>
    <row r="1381" spans="7:8" ht="15">
      <c r="G1381" s="16"/>
      <c r="H1381" s="16"/>
    </row>
    <row r="1382" spans="7:8" ht="15">
      <c r="G1382" s="16"/>
      <c r="H1382" s="16"/>
    </row>
    <row r="1383" spans="7:8" ht="15">
      <c r="G1383" s="16"/>
      <c r="H1383" s="16"/>
    </row>
    <row r="1384" spans="7:8" ht="15">
      <c r="G1384" s="16"/>
      <c r="H1384" s="16"/>
    </row>
    <row r="1385" spans="7:8" ht="15">
      <c r="G1385" s="16"/>
      <c r="H1385" s="16"/>
    </row>
    <row r="1386" spans="7:8" ht="15">
      <c r="G1386" s="16"/>
      <c r="H1386" s="16"/>
    </row>
    <row r="1387" spans="7:8" ht="15">
      <c r="G1387" s="16"/>
      <c r="H1387" s="16"/>
    </row>
    <row r="1388" spans="7:8" ht="15">
      <c r="G1388" s="16"/>
      <c r="H1388" s="16"/>
    </row>
    <row r="1389" spans="7:8" ht="15">
      <c r="G1389" s="16"/>
      <c r="H1389" s="16"/>
    </row>
    <row r="1390" spans="7:8" ht="15">
      <c r="G1390" s="16"/>
      <c r="H1390" s="16"/>
    </row>
    <row r="1391" spans="7:8" ht="15">
      <c r="G1391" s="16"/>
      <c r="H1391" s="16"/>
    </row>
    <row r="1392" spans="7:8" ht="15">
      <c r="G1392" s="16"/>
      <c r="H1392" s="16"/>
    </row>
    <row r="1393" spans="7:8" ht="15">
      <c r="G1393" s="16"/>
      <c r="H1393" s="16"/>
    </row>
    <row r="1394" spans="7:8" ht="15">
      <c r="G1394" s="16"/>
      <c r="H1394" s="16"/>
    </row>
    <row r="1395" spans="7:8" ht="15">
      <c r="G1395" s="16"/>
      <c r="H1395" s="16"/>
    </row>
    <row r="1396" spans="7:8" ht="15">
      <c r="G1396" s="16"/>
      <c r="H1396" s="16"/>
    </row>
    <row r="1397" spans="7:8" ht="15">
      <c r="G1397" s="16"/>
      <c r="H1397" s="16"/>
    </row>
    <row r="1398" spans="7:8" ht="15">
      <c r="G1398" s="16"/>
      <c r="H1398" s="16"/>
    </row>
    <row r="1399" spans="7:8" ht="15">
      <c r="G1399" s="16"/>
      <c r="H1399" s="16"/>
    </row>
    <row r="1400" spans="7:8" ht="15">
      <c r="G1400" s="16"/>
      <c r="H1400" s="16"/>
    </row>
    <row r="1401" spans="7:8" ht="15">
      <c r="G1401" s="16"/>
      <c r="H1401" s="16"/>
    </row>
    <row r="1402" spans="7:8" ht="15">
      <c r="G1402" s="16"/>
      <c r="H1402" s="16"/>
    </row>
    <row r="1403" spans="7:8" ht="15">
      <c r="G1403" s="16"/>
      <c r="H1403" s="16"/>
    </row>
    <row r="1404" spans="7:8" ht="15">
      <c r="G1404" s="16"/>
      <c r="H1404" s="16"/>
    </row>
    <row r="1405" spans="7:8" ht="15">
      <c r="G1405" s="16"/>
      <c r="H1405" s="16"/>
    </row>
    <row r="1406" spans="7:8" ht="15">
      <c r="G1406" s="16"/>
      <c r="H1406" s="16"/>
    </row>
    <row r="1407" spans="7:8" ht="15">
      <c r="G1407" s="16"/>
      <c r="H1407" s="16"/>
    </row>
    <row r="1408" spans="7:8" ht="15">
      <c r="G1408" s="16"/>
      <c r="H1408" s="16"/>
    </row>
    <row r="1409" spans="7:8" ht="15">
      <c r="G1409" s="16"/>
      <c r="H1409" s="16"/>
    </row>
    <row r="1410" spans="7:8" ht="15">
      <c r="G1410" s="16"/>
      <c r="H1410" s="16"/>
    </row>
    <row r="1411" spans="7:8" ht="15">
      <c r="G1411" s="16"/>
      <c r="H1411" s="16"/>
    </row>
    <row r="1412" spans="7:8" ht="15">
      <c r="G1412" s="16"/>
      <c r="H1412" s="16"/>
    </row>
    <row r="1413" spans="7:8" ht="15">
      <c r="G1413" s="16"/>
      <c r="H1413" s="16"/>
    </row>
    <row r="1414" spans="7:8" ht="15">
      <c r="G1414" s="16"/>
      <c r="H1414" s="16"/>
    </row>
    <row r="1415" spans="7:8" ht="15">
      <c r="G1415" s="16"/>
      <c r="H1415" s="16"/>
    </row>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sheetData>
  <sheetProtection selectLockedCells="1" selectUnlockedCells="1"/>
  <mergeCells count="9">
    <mergeCell ref="A1196:H1196"/>
    <mergeCell ref="A13:H13"/>
    <mergeCell ref="A10:H10"/>
    <mergeCell ref="A11:H11"/>
    <mergeCell ref="A12:H12"/>
    <mergeCell ref="A16:A17"/>
    <mergeCell ref="B16:E16"/>
    <mergeCell ref="F16:F17"/>
    <mergeCell ref="G16:H16"/>
  </mergeCells>
  <printOptions/>
  <pageMargins left="0.7874015748031497" right="0.54" top="0.5905511811023623" bottom="0.6299212598425197" header="0.3937007874015748" footer="0.3937007874015748"/>
  <pageSetup firstPageNumber="8" useFirstPageNumber="1" fitToHeight="13" horizontalDpi="600" verticalDpi="600" orientation="portrait" paperSize="9" scale="95" r:id="rId3"/>
  <headerFooter alignWithMargins="0">
    <oddFooter>&amp;R&amp;P</oddFooter>
  </headerFooter>
  <legacyDrawing r:id="rId2"/>
</worksheet>
</file>

<file path=xl/worksheets/sheet3.xml><?xml version="1.0" encoding="utf-8"?>
<worksheet xmlns="http://schemas.openxmlformats.org/spreadsheetml/2006/main" xmlns:r="http://schemas.openxmlformats.org/officeDocument/2006/relationships">
  <dimension ref="A1:R1208"/>
  <sheetViews>
    <sheetView view="pageBreakPreview" zoomScaleSheetLayoutView="100" zoomScalePageLayoutView="0" workbookViewId="0" topLeftCell="A1">
      <selection activeCell="B8" sqref="B8:G8"/>
    </sheetView>
  </sheetViews>
  <sheetFormatPr defaultColWidth="9.50390625" defaultRowHeight="12.75"/>
  <cols>
    <col min="1" max="1" width="53.00390625" style="7" customWidth="1"/>
    <col min="2" max="2" width="4.50390625" style="8" customWidth="1"/>
    <col min="3" max="4" width="3.50390625" style="8" customWidth="1"/>
    <col min="5" max="5" width="9.50390625" style="8" customWidth="1"/>
    <col min="6" max="6" width="3.50390625" style="8" customWidth="1"/>
    <col min="7" max="7" width="15.00390625" style="9" customWidth="1"/>
    <col min="8" max="8" width="13.50390625" style="11" hidden="1" customWidth="1"/>
    <col min="9" max="9" width="18.50390625" style="11" hidden="1" customWidth="1"/>
    <col min="10" max="10" width="6.50390625" style="72" customWidth="1"/>
    <col min="11" max="12" width="14.50390625" style="72" customWidth="1"/>
    <col min="13" max="15" width="9.50390625" style="72" customWidth="1"/>
    <col min="16" max="16" width="7.50390625" style="72" customWidth="1"/>
    <col min="17" max="17" width="12.50390625" style="72" customWidth="1"/>
    <col min="18" max="18" width="13.50390625" style="11" customWidth="1"/>
    <col min="19" max="19" width="7.50390625" style="11" customWidth="1"/>
    <col min="20" max="20" width="15.50390625" style="11" customWidth="1"/>
    <col min="21" max="21" width="7.00390625" style="11" customWidth="1"/>
    <col min="22" max="22" width="18.00390625" style="11" customWidth="1"/>
    <col min="23" max="16384" width="9.50390625" style="11" customWidth="1"/>
  </cols>
  <sheetData>
    <row r="1" ht="15">
      <c r="B1" s="10"/>
    </row>
    <row r="2" spans="2:7" ht="15">
      <c r="B2" s="339" t="s">
        <v>854</v>
      </c>
      <c r="C2" s="339"/>
      <c r="D2" s="339"/>
      <c r="E2" s="339"/>
      <c r="F2" s="339"/>
      <c r="G2" s="339"/>
    </row>
    <row r="3" spans="2:7" ht="15">
      <c r="B3" s="339" t="s">
        <v>595</v>
      </c>
      <c r="C3" s="339"/>
      <c r="D3" s="339"/>
      <c r="E3" s="339"/>
      <c r="F3" s="339"/>
      <c r="G3" s="339"/>
    </row>
    <row r="4" spans="2:7" ht="15">
      <c r="B4" s="338" t="s">
        <v>1528</v>
      </c>
      <c r="C4" s="338"/>
      <c r="D4" s="338"/>
      <c r="E4" s="338"/>
      <c r="F4" s="338"/>
      <c r="G4" s="338"/>
    </row>
    <row r="5" ht="11.25" customHeight="1">
      <c r="B5" s="1"/>
    </row>
    <row r="6" spans="2:7" ht="13.5" customHeight="1">
      <c r="B6" s="339" t="s">
        <v>596</v>
      </c>
      <c r="C6" s="339"/>
      <c r="D6" s="339"/>
      <c r="E6" s="339"/>
      <c r="F6" s="339"/>
      <c r="G6" s="339"/>
    </row>
    <row r="7" spans="2:7" ht="17.25" customHeight="1">
      <c r="B7" s="339" t="s">
        <v>595</v>
      </c>
      <c r="C7" s="339"/>
      <c r="D7" s="339"/>
      <c r="E7" s="339"/>
      <c r="F7" s="339"/>
      <c r="G7" s="339"/>
    </row>
    <row r="8" spans="2:7" ht="13.5" customHeight="1">
      <c r="B8" s="338" t="s">
        <v>791</v>
      </c>
      <c r="C8" s="338"/>
      <c r="D8" s="338"/>
      <c r="E8" s="338"/>
      <c r="F8" s="338"/>
      <c r="G8" s="338"/>
    </row>
    <row r="9" spans="1:7" ht="15.75" customHeight="1">
      <c r="A9" s="328" t="s">
        <v>1222</v>
      </c>
      <c r="B9" s="328"/>
      <c r="C9" s="328"/>
      <c r="D9" s="328"/>
      <c r="E9" s="328"/>
      <c r="F9" s="328"/>
      <c r="G9" s="328"/>
    </row>
    <row r="10" spans="1:7" ht="15.75">
      <c r="A10" s="340" t="s">
        <v>821</v>
      </c>
      <c r="B10" s="340"/>
      <c r="C10" s="340"/>
      <c r="D10" s="340"/>
      <c r="E10" s="340"/>
      <c r="F10" s="340"/>
      <c r="G10" s="340"/>
    </row>
    <row r="11" spans="1:7" ht="15" customHeight="1" thickBot="1">
      <c r="A11" s="11"/>
      <c r="B11" s="43"/>
      <c r="C11" s="12"/>
      <c r="D11" s="12"/>
      <c r="E11" s="12"/>
      <c r="F11" s="11"/>
      <c r="G11" s="44" t="s">
        <v>867</v>
      </c>
    </row>
    <row r="12" spans="1:17" s="14" customFormat="1" ht="42.75" customHeight="1" thickBot="1">
      <c r="A12" s="45" t="s">
        <v>649</v>
      </c>
      <c r="B12" s="46" t="s">
        <v>1223</v>
      </c>
      <c r="C12" s="46" t="s">
        <v>180</v>
      </c>
      <c r="D12" s="46" t="s">
        <v>181</v>
      </c>
      <c r="E12" s="46" t="s">
        <v>182</v>
      </c>
      <c r="F12" s="46" t="s">
        <v>183</v>
      </c>
      <c r="G12" s="42" t="s">
        <v>787</v>
      </c>
      <c r="J12" s="74"/>
      <c r="K12" s="74"/>
      <c r="L12" s="74"/>
      <c r="M12" s="74"/>
      <c r="N12" s="74"/>
      <c r="O12" s="74"/>
      <c r="P12" s="74"/>
      <c r="Q12" s="74"/>
    </row>
    <row r="13" spans="1:18" ht="20.25" customHeight="1">
      <c r="A13" s="47" t="s">
        <v>192</v>
      </c>
      <c r="B13" s="48"/>
      <c r="C13" s="48"/>
      <c r="D13" s="48"/>
      <c r="E13" s="48"/>
      <c r="F13" s="48"/>
      <c r="G13" s="49">
        <f>G14+G307+G409+G572+G1140+G1169+G1187</f>
        <v>5185561.4</v>
      </c>
      <c r="H13" s="61">
        <v>3464482</v>
      </c>
      <c r="I13" s="63">
        <f>H13-G13</f>
        <v>-1721079.4000000004</v>
      </c>
      <c r="K13" s="77"/>
      <c r="L13" s="77"/>
      <c r="Q13" s="77"/>
      <c r="R13" s="63"/>
    </row>
    <row r="14" spans="1:8" ht="17.25" customHeight="1">
      <c r="A14" s="50" t="s">
        <v>1412</v>
      </c>
      <c r="B14" s="51" t="s">
        <v>1105</v>
      </c>
      <c r="C14" s="51"/>
      <c r="D14" s="51"/>
      <c r="E14" s="51"/>
      <c r="F14" s="51"/>
      <c r="G14" s="52">
        <f>G15+G293</f>
        <v>2202145.4000000004</v>
      </c>
      <c r="H14" s="126"/>
    </row>
    <row r="15" spans="1:7" ht="15.75">
      <c r="A15" s="24" t="s">
        <v>119</v>
      </c>
      <c r="B15" s="53" t="s">
        <v>1105</v>
      </c>
      <c r="C15" s="23" t="s">
        <v>1338</v>
      </c>
      <c r="D15" s="28"/>
      <c r="E15" s="28"/>
      <c r="F15" s="28"/>
      <c r="G15" s="2">
        <f>G16+G55+G212+G220+G243</f>
        <v>2164890.4000000004</v>
      </c>
    </row>
    <row r="16" spans="1:7" ht="15">
      <c r="A16" s="31" t="s">
        <v>114</v>
      </c>
      <c r="B16" s="53" t="s">
        <v>1105</v>
      </c>
      <c r="C16" s="17" t="s">
        <v>1338</v>
      </c>
      <c r="D16" s="17" t="s">
        <v>184</v>
      </c>
      <c r="E16" s="39"/>
      <c r="F16" s="39"/>
      <c r="G16" s="19">
        <f>G17</f>
        <v>731795.1000000001</v>
      </c>
    </row>
    <row r="17" spans="1:7" ht="24">
      <c r="A17" s="33" t="s">
        <v>1375</v>
      </c>
      <c r="B17" s="53" t="s">
        <v>1105</v>
      </c>
      <c r="C17" s="17" t="s">
        <v>1338</v>
      </c>
      <c r="D17" s="17" t="s">
        <v>184</v>
      </c>
      <c r="E17" s="17" t="s">
        <v>1376</v>
      </c>
      <c r="F17" s="39"/>
      <c r="G17" s="19">
        <f>G18+G37</f>
        <v>731795.1000000001</v>
      </c>
    </row>
    <row r="18" spans="1:7" ht="41.25" customHeight="1">
      <c r="A18" s="18" t="s">
        <v>1377</v>
      </c>
      <c r="B18" s="53" t="s">
        <v>1105</v>
      </c>
      <c r="C18" s="17" t="s">
        <v>1338</v>
      </c>
      <c r="D18" s="17" t="s">
        <v>184</v>
      </c>
      <c r="E18" s="17" t="s">
        <v>799</v>
      </c>
      <c r="F18" s="17"/>
      <c r="G18" s="19">
        <f>G19+G31+G34</f>
        <v>409085</v>
      </c>
    </row>
    <row r="19" spans="1:7" ht="88.5" customHeight="1">
      <c r="A19" s="169" t="s">
        <v>1417</v>
      </c>
      <c r="B19" s="53" t="s">
        <v>1105</v>
      </c>
      <c r="C19" s="17" t="s">
        <v>1338</v>
      </c>
      <c r="D19" s="17" t="s">
        <v>184</v>
      </c>
      <c r="E19" s="17" t="s">
        <v>1378</v>
      </c>
      <c r="F19" s="17" t="s">
        <v>1204</v>
      </c>
      <c r="G19" s="19">
        <f>G20</f>
        <v>403940</v>
      </c>
    </row>
    <row r="20" spans="1:7" ht="27.75" customHeight="1">
      <c r="A20" s="36" t="s">
        <v>459</v>
      </c>
      <c r="B20" s="53" t="s">
        <v>1105</v>
      </c>
      <c r="C20" s="17" t="s">
        <v>1338</v>
      </c>
      <c r="D20" s="17" t="s">
        <v>184</v>
      </c>
      <c r="E20" s="17" t="s">
        <v>1378</v>
      </c>
      <c r="F20" s="17" t="s">
        <v>641</v>
      </c>
      <c r="G20" s="19">
        <f>G21+G26</f>
        <v>403940</v>
      </c>
    </row>
    <row r="21" spans="1:7" ht="16.5" customHeight="1">
      <c r="A21" s="18" t="s">
        <v>418</v>
      </c>
      <c r="B21" s="53" t="s">
        <v>1105</v>
      </c>
      <c r="C21" s="17" t="s">
        <v>1338</v>
      </c>
      <c r="D21" s="17" t="s">
        <v>184</v>
      </c>
      <c r="E21" s="17" t="s">
        <v>1378</v>
      </c>
      <c r="F21" s="17" t="s">
        <v>419</v>
      </c>
      <c r="G21" s="20">
        <v>23482</v>
      </c>
    </row>
    <row r="22" spans="1:7" ht="21" customHeight="1" hidden="1">
      <c r="A22" s="18" t="s">
        <v>417</v>
      </c>
      <c r="B22" s="53" t="s">
        <v>1105</v>
      </c>
      <c r="C22" s="17" t="s">
        <v>1338</v>
      </c>
      <c r="D22" s="17" t="s">
        <v>184</v>
      </c>
      <c r="E22" s="17" t="s">
        <v>1378</v>
      </c>
      <c r="F22" s="17" t="s">
        <v>420</v>
      </c>
      <c r="G22" s="20">
        <v>23482</v>
      </c>
    </row>
    <row r="23" spans="1:7" ht="28.5" customHeight="1" hidden="1">
      <c r="A23" s="18" t="s">
        <v>221</v>
      </c>
      <c r="B23" s="53" t="s">
        <v>1105</v>
      </c>
      <c r="C23" s="17" t="s">
        <v>1338</v>
      </c>
      <c r="D23" s="17" t="s">
        <v>184</v>
      </c>
      <c r="E23" s="17" t="s">
        <v>1378</v>
      </c>
      <c r="F23" s="17" t="s">
        <v>88</v>
      </c>
      <c r="G23" s="19">
        <f>G24+G25</f>
        <v>0</v>
      </c>
    </row>
    <row r="24" spans="1:7" ht="36.75" customHeight="1" hidden="1">
      <c r="A24" s="18" t="s">
        <v>1419</v>
      </c>
      <c r="B24" s="53" t="s">
        <v>1105</v>
      </c>
      <c r="C24" s="17" t="s">
        <v>1338</v>
      </c>
      <c r="D24" s="17" t="s">
        <v>184</v>
      </c>
      <c r="E24" s="17" t="s">
        <v>1378</v>
      </c>
      <c r="F24" s="17" t="s">
        <v>88</v>
      </c>
      <c r="G24" s="20"/>
    </row>
    <row r="25" spans="1:7" ht="37.5" customHeight="1" hidden="1">
      <c r="A25" s="18" t="s">
        <v>1420</v>
      </c>
      <c r="B25" s="53" t="s">
        <v>1105</v>
      </c>
      <c r="C25" s="17" t="s">
        <v>1338</v>
      </c>
      <c r="D25" s="17" t="s">
        <v>184</v>
      </c>
      <c r="E25" s="17" t="s">
        <v>1378</v>
      </c>
      <c r="F25" s="17" t="s">
        <v>88</v>
      </c>
      <c r="G25" s="20"/>
    </row>
    <row r="26" spans="1:7" ht="16.5" customHeight="1">
      <c r="A26" s="18" t="s">
        <v>243</v>
      </c>
      <c r="B26" s="53" t="s">
        <v>1105</v>
      </c>
      <c r="C26" s="17" t="s">
        <v>1338</v>
      </c>
      <c r="D26" s="17" t="s">
        <v>184</v>
      </c>
      <c r="E26" s="17" t="s">
        <v>1378</v>
      </c>
      <c r="F26" s="17" t="s">
        <v>244</v>
      </c>
      <c r="G26" s="20">
        <f>369507+10240+541-194+364</f>
        <v>380458</v>
      </c>
    </row>
    <row r="27" spans="1:7" ht="29.25" customHeight="1" hidden="1">
      <c r="A27" s="18" t="s">
        <v>1457</v>
      </c>
      <c r="B27" s="53" t="s">
        <v>1105</v>
      </c>
      <c r="C27" s="17" t="s">
        <v>1338</v>
      </c>
      <c r="D27" s="17" t="s">
        <v>184</v>
      </c>
      <c r="E27" s="17" t="s">
        <v>1378</v>
      </c>
      <c r="F27" s="17" t="s">
        <v>245</v>
      </c>
      <c r="G27" s="20">
        <v>369507</v>
      </c>
    </row>
    <row r="28" spans="1:7" ht="22.5" customHeight="1" hidden="1">
      <c r="A28" s="18" t="s">
        <v>1054</v>
      </c>
      <c r="B28" s="53" t="s">
        <v>1105</v>
      </c>
      <c r="C28" s="17" t="s">
        <v>1338</v>
      </c>
      <c r="D28" s="17" t="s">
        <v>184</v>
      </c>
      <c r="E28" s="17" t="s">
        <v>1378</v>
      </c>
      <c r="F28" s="17" t="s">
        <v>1104</v>
      </c>
      <c r="G28" s="19"/>
    </row>
    <row r="29" spans="1:7" ht="40.5" customHeight="1" hidden="1">
      <c r="A29" s="36" t="s">
        <v>1456</v>
      </c>
      <c r="B29" s="53" t="s">
        <v>1105</v>
      </c>
      <c r="C29" s="17" t="s">
        <v>1338</v>
      </c>
      <c r="D29" s="17" t="s">
        <v>184</v>
      </c>
      <c r="E29" s="17" t="s">
        <v>1378</v>
      </c>
      <c r="F29" s="17" t="s">
        <v>1104</v>
      </c>
      <c r="G29" s="20"/>
    </row>
    <row r="30" spans="1:7" ht="40.5" customHeight="1" hidden="1">
      <c r="A30" s="36" t="s">
        <v>971</v>
      </c>
      <c r="B30" s="53" t="s">
        <v>1105</v>
      </c>
      <c r="C30" s="17" t="s">
        <v>1338</v>
      </c>
      <c r="D30" s="17" t="s">
        <v>184</v>
      </c>
      <c r="E30" s="17" t="s">
        <v>1378</v>
      </c>
      <c r="F30" s="17" t="s">
        <v>1104</v>
      </c>
      <c r="G30" s="20"/>
    </row>
    <row r="31" spans="1:7" ht="69.75" customHeight="1">
      <c r="A31" s="170" t="s">
        <v>1381</v>
      </c>
      <c r="B31" s="53" t="s">
        <v>1105</v>
      </c>
      <c r="C31" s="17" t="s">
        <v>1338</v>
      </c>
      <c r="D31" s="17" t="s">
        <v>184</v>
      </c>
      <c r="E31" s="17" t="s">
        <v>1379</v>
      </c>
      <c r="F31" s="17"/>
      <c r="G31" s="19">
        <f>G32</f>
        <v>4645</v>
      </c>
    </row>
    <row r="32" spans="1:7" ht="27.75" customHeight="1">
      <c r="A32" s="36" t="s">
        <v>459</v>
      </c>
      <c r="B32" s="53" t="s">
        <v>1105</v>
      </c>
      <c r="C32" s="17" t="s">
        <v>1338</v>
      </c>
      <c r="D32" s="17" t="s">
        <v>184</v>
      </c>
      <c r="E32" s="17" t="s">
        <v>1379</v>
      </c>
      <c r="F32" s="17" t="s">
        <v>641</v>
      </c>
      <c r="G32" s="19">
        <f>G33</f>
        <v>4645</v>
      </c>
    </row>
    <row r="33" spans="1:7" ht="28.5" customHeight="1">
      <c r="A33" s="198" t="s">
        <v>562</v>
      </c>
      <c r="B33" s="53" t="s">
        <v>1105</v>
      </c>
      <c r="C33" s="17" t="s">
        <v>1338</v>
      </c>
      <c r="D33" s="17" t="s">
        <v>184</v>
      </c>
      <c r="E33" s="17" t="s">
        <v>1379</v>
      </c>
      <c r="F33" s="17" t="s">
        <v>1078</v>
      </c>
      <c r="G33" s="20">
        <f>4089+108-1656-411+2515</f>
        <v>4645</v>
      </c>
    </row>
    <row r="34" spans="1:7" ht="73.5" customHeight="1">
      <c r="A34" s="198" t="s">
        <v>794</v>
      </c>
      <c r="B34" s="53" t="s">
        <v>1105</v>
      </c>
      <c r="C34" s="17" t="s">
        <v>1338</v>
      </c>
      <c r="D34" s="17" t="s">
        <v>184</v>
      </c>
      <c r="E34" s="17" t="s">
        <v>795</v>
      </c>
      <c r="F34" s="17" t="s">
        <v>1204</v>
      </c>
      <c r="G34" s="19">
        <f>G35</f>
        <v>500</v>
      </c>
    </row>
    <row r="35" spans="1:7" ht="25.5" customHeight="1">
      <c r="A35" s="36" t="s">
        <v>459</v>
      </c>
      <c r="B35" s="53" t="s">
        <v>1105</v>
      </c>
      <c r="C35" s="17" t="s">
        <v>1338</v>
      </c>
      <c r="D35" s="17" t="s">
        <v>184</v>
      </c>
      <c r="E35" s="17" t="s">
        <v>795</v>
      </c>
      <c r="F35" s="17" t="s">
        <v>641</v>
      </c>
      <c r="G35" s="19">
        <f>G36</f>
        <v>500</v>
      </c>
    </row>
    <row r="36" spans="1:7" ht="27.75" customHeight="1">
      <c r="A36" s="18" t="s">
        <v>1386</v>
      </c>
      <c r="B36" s="53" t="s">
        <v>1105</v>
      </c>
      <c r="C36" s="17" t="s">
        <v>1338</v>
      </c>
      <c r="D36" s="17" t="s">
        <v>184</v>
      </c>
      <c r="E36" s="17" t="s">
        <v>795</v>
      </c>
      <c r="F36" s="17" t="s">
        <v>244</v>
      </c>
      <c r="G36" s="20">
        <v>500</v>
      </c>
    </row>
    <row r="37" spans="1:7" ht="30" customHeight="1">
      <c r="A37" s="33" t="s">
        <v>1375</v>
      </c>
      <c r="B37" s="53" t="s">
        <v>1105</v>
      </c>
      <c r="C37" s="17" t="s">
        <v>1338</v>
      </c>
      <c r="D37" s="17" t="s">
        <v>184</v>
      </c>
      <c r="E37" s="17" t="s">
        <v>1376</v>
      </c>
      <c r="F37" s="39"/>
      <c r="G37" s="19">
        <f>G38+G46</f>
        <v>322710.10000000003</v>
      </c>
    </row>
    <row r="38" spans="1:7" ht="38.25" customHeight="1">
      <c r="A38" s="18" t="s">
        <v>1377</v>
      </c>
      <c r="B38" s="53" t="s">
        <v>1105</v>
      </c>
      <c r="C38" s="17" t="s">
        <v>1338</v>
      </c>
      <c r="D38" s="17" t="s">
        <v>184</v>
      </c>
      <c r="E38" s="17" t="s">
        <v>1382</v>
      </c>
      <c r="F38" s="17" t="s">
        <v>1204</v>
      </c>
      <c r="G38" s="19">
        <f>G39</f>
        <v>299151.4</v>
      </c>
    </row>
    <row r="39" spans="1:7" ht="38.25" customHeight="1">
      <c r="A39" s="36" t="s">
        <v>459</v>
      </c>
      <c r="B39" s="53" t="s">
        <v>1105</v>
      </c>
      <c r="C39" s="17" t="s">
        <v>1338</v>
      </c>
      <c r="D39" s="17" t="s">
        <v>184</v>
      </c>
      <c r="E39" s="17" t="s">
        <v>1382</v>
      </c>
      <c r="F39" s="17" t="s">
        <v>641</v>
      </c>
      <c r="G39" s="19">
        <f>G40+G42</f>
        <v>299151.4</v>
      </c>
    </row>
    <row r="40" spans="1:7" ht="24">
      <c r="A40" s="18" t="s">
        <v>390</v>
      </c>
      <c r="B40" s="53" t="s">
        <v>1105</v>
      </c>
      <c r="C40" s="17" t="s">
        <v>1338</v>
      </c>
      <c r="D40" s="17" t="s">
        <v>184</v>
      </c>
      <c r="E40" s="17" t="s">
        <v>1382</v>
      </c>
      <c r="F40" s="17" t="s">
        <v>419</v>
      </c>
      <c r="G40" s="20">
        <f>25352+750-2404</f>
        <v>23698</v>
      </c>
    </row>
    <row r="41" spans="1:7" ht="15" hidden="1">
      <c r="A41" s="18"/>
      <c r="B41" s="53" t="s">
        <v>1105</v>
      </c>
      <c r="C41" s="54" t="s">
        <v>1338</v>
      </c>
      <c r="D41" s="54" t="s">
        <v>184</v>
      </c>
      <c r="E41" s="17" t="s">
        <v>1382</v>
      </c>
      <c r="F41" s="54" t="s">
        <v>419</v>
      </c>
      <c r="G41" s="20">
        <v>0</v>
      </c>
    </row>
    <row r="42" spans="1:7" ht="21" customHeight="1">
      <c r="A42" s="18" t="s">
        <v>243</v>
      </c>
      <c r="B42" s="53" t="s">
        <v>1105</v>
      </c>
      <c r="C42" s="54" t="s">
        <v>1338</v>
      </c>
      <c r="D42" s="54" t="s">
        <v>184</v>
      </c>
      <c r="E42" s="17" t="s">
        <v>1382</v>
      </c>
      <c r="F42" s="54" t="s">
        <v>244</v>
      </c>
      <c r="G42" s="20">
        <f>275814-250+10000-10000-110.6</f>
        <v>275453.4</v>
      </c>
    </row>
    <row r="43" spans="1:7" ht="59.25" customHeight="1">
      <c r="A43" s="36" t="s">
        <v>915</v>
      </c>
      <c r="B43" s="53" t="s">
        <v>1105</v>
      </c>
      <c r="C43" s="54" t="s">
        <v>1338</v>
      </c>
      <c r="D43" s="54" t="s">
        <v>184</v>
      </c>
      <c r="E43" s="17" t="s">
        <v>1382</v>
      </c>
      <c r="F43" s="54" t="s">
        <v>244</v>
      </c>
      <c r="G43" s="20">
        <v>55.6</v>
      </c>
    </row>
    <row r="44" spans="1:7" ht="30" customHeight="1" hidden="1">
      <c r="A44" s="36" t="s">
        <v>518</v>
      </c>
      <c r="B44" s="53" t="s">
        <v>1105</v>
      </c>
      <c r="C44" s="54" t="s">
        <v>1338</v>
      </c>
      <c r="D44" s="54" t="s">
        <v>184</v>
      </c>
      <c r="E44" s="17" t="s">
        <v>1382</v>
      </c>
      <c r="F44" s="54" t="s">
        <v>244</v>
      </c>
      <c r="G44" s="20">
        <f>10000-10000</f>
        <v>0</v>
      </c>
    </row>
    <row r="45" spans="1:7" ht="30" customHeight="1">
      <c r="A45" s="36" t="s">
        <v>933</v>
      </c>
      <c r="B45" s="53" t="s">
        <v>934</v>
      </c>
      <c r="C45" s="54" t="s">
        <v>1338</v>
      </c>
      <c r="D45" s="54" t="s">
        <v>184</v>
      </c>
      <c r="E45" s="17" t="s">
        <v>1382</v>
      </c>
      <c r="F45" s="54" t="s">
        <v>244</v>
      </c>
      <c r="G45" s="20">
        <v>2561.6</v>
      </c>
    </row>
    <row r="46" spans="1:7" ht="36">
      <c r="A46" s="18" t="s">
        <v>822</v>
      </c>
      <c r="B46" s="53" t="s">
        <v>1105</v>
      </c>
      <c r="C46" s="54" t="s">
        <v>1338</v>
      </c>
      <c r="D46" s="54" t="s">
        <v>184</v>
      </c>
      <c r="E46" s="54" t="s">
        <v>606</v>
      </c>
      <c r="F46" s="54"/>
      <c r="G46" s="19">
        <f>G47+G50</f>
        <v>23558.7</v>
      </c>
    </row>
    <row r="47" spans="1:7" ht="24">
      <c r="A47" s="36" t="s">
        <v>270</v>
      </c>
      <c r="B47" s="53" t="s">
        <v>1105</v>
      </c>
      <c r="C47" s="54" t="s">
        <v>1338</v>
      </c>
      <c r="D47" s="54" t="s">
        <v>184</v>
      </c>
      <c r="E47" s="54" t="s">
        <v>823</v>
      </c>
      <c r="F47" s="54" t="s">
        <v>312</v>
      </c>
      <c r="G47" s="19">
        <f>G48</f>
        <v>2494.7</v>
      </c>
    </row>
    <row r="48" spans="1:7" ht="36">
      <c r="A48" s="36" t="s">
        <v>1005</v>
      </c>
      <c r="B48" s="53" t="s">
        <v>1105</v>
      </c>
      <c r="C48" s="54" t="s">
        <v>1338</v>
      </c>
      <c r="D48" s="54" t="s">
        <v>184</v>
      </c>
      <c r="E48" s="54" t="s">
        <v>823</v>
      </c>
      <c r="F48" s="54" t="s">
        <v>1174</v>
      </c>
      <c r="G48" s="19">
        <f>G49</f>
        <v>2494.7</v>
      </c>
    </row>
    <row r="49" spans="1:7" ht="48">
      <c r="A49" s="18" t="s">
        <v>1129</v>
      </c>
      <c r="B49" s="53" t="s">
        <v>1105</v>
      </c>
      <c r="C49" s="54" t="s">
        <v>1338</v>
      </c>
      <c r="D49" s="54" t="s">
        <v>184</v>
      </c>
      <c r="E49" s="54" t="s">
        <v>823</v>
      </c>
      <c r="F49" s="54" t="s">
        <v>1174</v>
      </c>
      <c r="G49" s="20">
        <v>2494.7</v>
      </c>
    </row>
    <row r="50" spans="1:7" ht="24">
      <c r="A50" s="36" t="s">
        <v>459</v>
      </c>
      <c r="B50" s="53" t="s">
        <v>1105</v>
      </c>
      <c r="C50" s="54" t="s">
        <v>1338</v>
      </c>
      <c r="D50" s="54" t="s">
        <v>184</v>
      </c>
      <c r="E50" s="54" t="s">
        <v>823</v>
      </c>
      <c r="F50" s="54" t="s">
        <v>641</v>
      </c>
      <c r="G50" s="19">
        <f>G51+G53</f>
        <v>21064</v>
      </c>
    </row>
    <row r="51" spans="1:7" ht="24">
      <c r="A51" s="18" t="s">
        <v>390</v>
      </c>
      <c r="B51" s="53" t="s">
        <v>1105</v>
      </c>
      <c r="C51" s="54" t="s">
        <v>1338</v>
      </c>
      <c r="D51" s="54" t="s">
        <v>184</v>
      </c>
      <c r="E51" s="54" t="s">
        <v>823</v>
      </c>
      <c r="F51" s="54" t="s">
        <v>419</v>
      </c>
      <c r="G51" s="19">
        <f>G52</f>
        <v>4000</v>
      </c>
    </row>
    <row r="52" spans="1:7" ht="36">
      <c r="A52" s="18" t="s">
        <v>426</v>
      </c>
      <c r="B52" s="53" t="s">
        <v>1105</v>
      </c>
      <c r="C52" s="54" t="s">
        <v>1338</v>
      </c>
      <c r="D52" s="54" t="s">
        <v>184</v>
      </c>
      <c r="E52" s="54" t="s">
        <v>823</v>
      </c>
      <c r="F52" s="54" t="s">
        <v>419</v>
      </c>
      <c r="G52" s="20">
        <f>3400+430+170</f>
        <v>4000</v>
      </c>
    </row>
    <row r="53" spans="1:7" ht="24">
      <c r="A53" s="18" t="s">
        <v>747</v>
      </c>
      <c r="B53" s="53" t="s">
        <v>1105</v>
      </c>
      <c r="C53" s="54" t="s">
        <v>1338</v>
      </c>
      <c r="D53" s="54" t="s">
        <v>184</v>
      </c>
      <c r="E53" s="54" t="s">
        <v>823</v>
      </c>
      <c r="F53" s="54" t="s">
        <v>244</v>
      </c>
      <c r="G53" s="19">
        <f>G54</f>
        <v>17064</v>
      </c>
    </row>
    <row r="54" spans="1:7" ht="72">
      <c r="A54" s="18" t="s">
        <v>965</v>
      </c>
      <c r="B54" s="53" t="s">
        <v>1105</v>
      </c>
      <c r="C54" s="54" t="s">
        <v>1338</v>
      </c>
      <c r="D54" s="54" t="s">
        <v>184</v>
      </c>
      <c r="E54" s="54" t="s">
        <v>823</v>
      </c>
      <c r="F54" s="54" t="s">
        <v>244</v>
      </c>
      <c r="G54" s="20">
        <f>500+84+8420.4+1579.6+450+1830+4200</f>
        <v>17064</v>
      </c>
    </row>
    <row r="55" spans="1:7" ht="15">
      <c r="A55" s="31" t="s">
        <v>1357</v>
      </c>
      <c r="B55" s="53" t="s">
        <v>1105</v>
      </c>
      <c r="C55" s="17" t="s">
        <v>1338</v>
      </c>
      <c r="D55" s="17" t="s">
        <v>1154</v>
      </c>
      <c r="E55" s="172"/>
      <c r="F55" s="17"/>
      <c r="G55" s="19">
        <f>G56+G208</f>
        <v>1291060</v>
      </c>
    </row>
    <row r="56" spans="1:7" ht="24">
      <c r="A56" s="33" t="s">
        <v>1375</v>
      </c>
      <c r="B56" s="53" t="s">
        <v>1105</v>
      </c>
      <c r="C56" s="174" t="s">
        <v>1338</v>
      </c>
      <c r="D56" s="174" t="s">
        <v>1154</v>
      </c>
      <c r="E56" s="175" t="s">
        <v>1376</v>
      </c>
      <c r="F56" s="17"/>
      <c r="G56" s="19">
        <f>G57+G72+G76+G86+G91+G97+G102+G107+G127+G146+G164+G185</f>
        <v>1290085</v>
      </c>
    </row>
    <row r="57" spans="1:7" ht="24">
      <c r="A57" s="173" t="s">
        <v>831</v>
      </c>
      <c r="B57" s="53" t="s">
        <v>1105</v>
      </c>
      <c r="C57" s="174" t="s">
        <v>1338</v>
      </c>
      <c r="D57" s="174" t="s">
        <v>1154</v>
      </c>
      <c r="E57" s="176" t="s">
        <v>1383</v>
      </c>
      <c r="F57" s="171"/>
      <c r="G57" s="19">
        <f>G61+G69+G58</f>
        <v>877774.6000000001</v>
      </c>
    </row>
    <row r="58" spans="1:7" ht="24">
      <c r="A58" s="36" t="s">
        <v>124</v>
      </c>
      <c r="B58" s="53" t="s">
        <v>1105</v>
      </c>
      <c r="C58" s="174" t="s">
        <v>1338</v>
      </c>
      <c r="D58" s="174" t="s">
        <v>1154</v>
      </c>
      <c r="E58" s="176" t="s">
        <v>125</v>
      </c>
      <c r="F58" s="171" t="s">
        <v>641</v>
      </c>
      <c r="G58" s="19">
        <f>G59</f>
        <v>4967.6</v>
      </c>
    </row>
    <row r="59" spans="1:7" ht="24">
      <c r="A59" s="18" t="s">
        <v>746</v>
      </c>
      <c r="B59" s="53" t="s">
        <v>1105</v>
      </c>
      <c r="C59" s="174" t="s">
        <v>1338</v>
      </c>
      <c r="D59" s="174" t="s">
        <v>1154</v>
      </c>
      <c r="E59" s="176" t="s">
        <v>125</v>
      </c>
      <c r="F59" s="171" t="s">
        <v>244</v>
      </c>
      <c r="G59" s="19">
        <f>G60</f>
        <v>4967.6</v>
      </c>
    </row>
    <row r="60" spans="1:7" ht="36">
      <c r="A60" s="173" t="s">
        <v>123</v>
      </c>
      <c r="B60" s="53" t="s">
        <v>1105</v>
      </c>
      <c r="C60" s="174" t="s">
        <v>1338</v>
      </c>
      <c r="D60" s="174" t="s">
        <v>1154</v>
      </c>
      <c r="E60" s="176" t="s">
        <v>125</v>
      </c>
      <c r="F60" s="171" t="s">
        <v>244</v>
      </c>
      <c r="G60" s="20">
        <f>4967.6</f>
        <v>4967.6</v>
      </c>
    </row>
    <row r="61" spans="1:7" ht="108">
      <c r="A61" s="36" t="s">
        <v>1183</v>
      </c>
      <c r="B61" s="53" t="s">
        <v>1105</v>
      </c>
      <c r="C61" s="17" t="s">
        <v>1338</v>
      </c>
      <c r="D61" s="17" t="s">
        <v>1154</v>
      </c>
      <c r="E61" s="176" t="s">
        <v>1384</v>
      </c>
      <c r="F61" s="17" t="s">
        <v>1204</v>
      </c>
      <c r="G61" s="19">
        <f>G62</f>
        <v>854248.0000000001</v>
      </c>
    </row>
    <row r="62" spans="1:7" ht="24">
      <c r="A62" s="36" t="s">
        <v>459</v>
      </c>
      <c r="B62" s="53" t="s">
        <v>1105</v>
      </c>
      <c r="C62" s="17" t="s">
        <v>1338</v>
      </c>
      <c r="D62" s="17" t="s">
        <v>1154</v>
      </c>
      <c r="E62" s="176" t="s">
        <v>1384</v>
      </c>
      <c r="F62" s="17" t="s">
        <v>641</v>
      </c>
      <c r="G62" s="19">
        <f>G63+G66</f>
        <v>854248.0000000001</v>
      </c>
    </row>
    <row r="63" spans="1:7" ht="24">
      <c r="A63" s="18" t="s">
        <v>390</v>
      </c>
      <c r="B63" s="53" t="s">
        <v>1105</v>
      </c>
      <c r="C63" s="17" t="s">
        <v>1338</v>
      </c>
      <c r="D63" s="17" t="s">
        <v>1154</v>
      </c>
      <c r="E63" s="176" t="s">
        <v>1384</v>
      </c>
      <c r="F63" s="17" t="s">
        <v>419</v>
      </c>
      <c r="G63" s="20">
        <f>28259+537.9</f>
        <v>28796.9</v>
      </c>
    </row>
    <row r="64" spans="1:7" ht="24" hidden="1">
      <c r="A64" s="18" t="s">
        <v>417</v>
      </c>
      <c r="B64" s="53" t="s">
        <v>1105</v>
      </c>
      <c r="C64" s="17" t="s">
        <v>1338</v>
      </c>
      <c r="D64" s="17" t="s">
        <v>1154</v>
      </c>
      <c r="E64" s="176" t="s">
        <v>1384</v>
      </c>
      <c r="F64" s="17" t="s">
        <v>420</v>
      </c>
      <c r="G64" s="20"/>
    </row>
    <row r="65" spans="1:7" ht="24">
      <c r="A65" s="18" t="s">
        <v>1385</v>
      </c>
      <c r="B65" s="53" t="s">
        <v>1105</v>
      </c>
      <c r="C65" s="17" t="s">
        <v>1338</v>
      </c>
      <c r="D65" s="17" t="s">
        <v>1154</v>
      </c>
      <c r="E65" s="176" t="s">
        <v>1384</v>
      </c>
      <c r="F65" s="17" t="s">
        <v>419</v>
      </c>
      <c r="G65" s="20">
        <v>537.9</v>
      </c>
    </row>
    <row r="66" spans="1:7" ht="24">
      <c r="A66" s="18" t="s">
        <v>746</v>
      </c>
      <c r="B66" s="53" t="s">
        <v>1105</v>
      </c>
      <c r="C66" s="17" t="s">
        <v>1338</v>
      </c>
      <c r="D66" s="17" t="s">
        <v>1154</v>
      </c>
      <c r="E66" s="176" t="s">
        <v>1384</v>
      </c>
      <c r="F66" s="17" t="s">
        <v>244</v>
      </c>
      <c r="G66" s="20">
        <f>777069.3+30381.8+13500+4500</f>
        <v>825451.1000000001</v>
      </c>
    </row>
    <row r="67" spans="1:7" ht="24" hidden="1">
      <c r="A67" s="18" t="s">
        <v>1457</v>
      </c>
      <c r="B67" s="53" t="s">
        <v>1105</v>
      </c>
      <c r="C67" s="17" t="s">
        <v>1338</v>
      </c>
      <c r="D67" s="17" t="s">
        <v>1154</v>
      </c>
      <c r="E67" s="176" t="s">
        <v>1384</v>
      </c>
      <c r="F67" s="17" t="s">
        <v>245</v>
      </c>
      <c r="G67" s="20"/>
    </row>
    <row r="68" spans="1:7" ht="24">
      <c r="A68" s="18" t="s">
        <v>1386</v>
      </c>
      <c r="B68" s="53" t="s">
        <v>1105</v>
      </c>
      <c r="C68" s="17" t="s">
        <v>1338</v>
      </c>
      <c r="D68" s="17" t="s">
        <v>1154</v>
      </c>
      <c r="E68" s="176" t="s">
        <v>1384</v>
      </c>
      <c r="F68" s="17" t="s">
        <v>244</v>
      </c>
      <c r="G68" s="20">
        <v>30381.8</v>
      </c>
    </row>
    <row r="69" spans="1:7" ht="108">
      <c r="A69" s="178" t="s">
        <v>249</v>
      </c>
      <c r="B69" s="53" t="s">
        <v>1105</v>
      </c>
      <c r="C69" s="54" t="s">
        <v>1338</v>
      </c>
      <c r="D69" s="54" t="s">
        <v>1154</v>
      </c>
      <c r="E69" s="54" t="s">
        <v>250</v>
      </c>
      <c r="F69" s="54" t="s">
        <v>1204</v>
      </c>
      <c r="G69" s="19">
        <f>G71</f>
        <v>18559</v>
      </c>
    </row>
    <row r="70" spans="1:7" ht="24">
      <c r="A70" s="36" t="s">
        <v>459</v>
      </c>
      <c r="B70" s="53" t="s">
        <v>1105</v>
      </c>
      <c r="C70" s="54" t="s">
        <v>1338</v>
      </c>
      <c r="D70" s="54" t="s">
        <v>1154</v>
      </c>
      <c r="E70" s="54" t="s">
        <v>250</v>
      </c>
      <c r="F70" s="54" t="s">
        <v>641</v>
      </c>
      <c r="G70" s="19">
        <f>G71</f>
        <v>18559</v>
      </c>
    </row>
    <row r="71" spans="1:7" ht="24">
      <c r="A71" s="179" t="s">
        <v>825</v>
      </c>
      <c r="B71" s="53" t="s">
        <v>1105</v>
      </c>
      <c r="C71" s="54" t="s">
        <v>1338</v>
      </c>
      <c r="D71" s="54" t="s">
        <v>1154</v>
      </c>
      <c r="E71" s="54" t="s">
        <v>250</v>
      </c>
      <c r="F71" s="54" t="s">
        <v>1078</v>
      </c>
      <c r="G71" s="20">
        <f>18022+465+73-1</f>
        <v>18559</v>
      </c>
    </row>
    <row r="72" spans="1:7" ht="36" hidden="1">
      <c r="A72" s="36" t="s">
        <v>885</v>
      </c>
      <c r="B72" s="53" t="s">
        <v>1105</v>
      </c>
      <c r="C72" s="17" t="s">
        <v>1338</v>
      </c>
      <c r="D72" s="17" t="s">
        <v>1154</v>
      </c>
      <c r="E72" s="176" t="s">
        <v>598</v>
      </c>
      <c r="F72" s="17"/>
      <c r="G72" s="19">
        <f>G73</f>
        <v>0</v>
      </c>
    </row>
    <row r="73" spans="1:7" ht="24" hidden="1">
      <c r="A73" s="36" t="s">
        <v>459</v>
      </c>
      <c r="B73" s="53" t="s">
        <v>1105</v>
      </c>
      <c r="C73" s="17" t="s">
        <v>1338</v>
      </c>
      <c r="D73" s="17" t="s">
        <v>1154</v>
      </c>
      <c r="E73" s="176" t="s">
        <v>1065</v>
      </c>
      <c r="F73" s="17" t="s">
        <v>641</v>
      </c>
      <c r="G73" s="19">
        <f>G74</f>
        <v>0</v>
      </c>
    </row>
    <row r="74" spans="1:7" ht="24" hidden="1">
      <c r="A74" s="18" t="s">
        <v>1457</v>
      </c>
      <c r="B74" s="53" t="s">
        <v>1105</v>
      </c>
      <c r="C74" s="17" t="s">
        <v>1338</v>
      </c>
      <c r="D74" s="17" t="s">
        <v>1154</v>
      </c>
      <c r="E74" s="176" t="s">
        <v>1065</v>
      </c>
      <c r="F74" s="17" t="s">
        <v>244</v>
      </c>
      <c r="G74" s="20"/>
    </row>
    <row r="75" spans="1:7" ht="15" hidden="1">
      <c r="A75" s="18" t="s">
        <v>1386</v>
      </c>
      <c r="B75" s="53" t="s">
        <v>1105</v>
      </c>
      <c r="C75" s="17" t="s">
        <v>1338</v>
      </c>
      <c r="D75" s="17" t="s">
        <v>1154</v>
      </c>
      <c r="E75" s="176" t="s">
        <v>1065</v>
      </c>
      <c r="F75" s="17" t="s">
        <v>245</v>
      </c>
      <c r="G75" s="20">
        <v>0</v>
      </c>
    </row>
    <row r="76" spans="1:7" ht="36">
      <c r="A76" s="36" t="s">
        <v>890</v>
      </c>
      <c r="B76" s="53" t="s">
        <v>1105</v>
      </c>
      <c r="C76" s="17" t="s">
        <v>1338</v>
      </c>
      <c r="D76" s="17" t="s">
        <v>1154</v>
      </c>
      <c r="E76" s="17" t="s">
        <v>1387</v>
      </c>
      <c r="F76" s="17" t="s">
        <v>1204</v>
      </c>
      <c r="G76" s="19">
        <f>G77</f>
        <v>37873</v>
      </c>
    </row>
    <row r="77" spans="1:7" ht="24">
      <c r="A77" s="36" t="s">
        <v>459</v>
      </c>
      <c r="B77" s="53" t="s">
        <v>1105</v>
      </c>
      <c r="C77" s="17" t="s">
        <v>1338</v>
      </c>
      <c r="D77" s="17" t="s">
        <v>1154</v>
      </c>
      <c r="E77" s="17" t="s">
        <v>1387</v>
      </c>
      <c r="F77" s="17" t="s">
        <v>641</v>
      </c>
      <c r="G77" s="19">
        <f>G78+G80+G81</f>
        <v>37873</v>
      </c>
    </row>
    <row r="78" spans="1:7" ht="24">
      <c r="A78" s="18" t="s">
        <v>418</v>
      </c>
      <c r="B78" s="53" t="s">
        <v>1105</v>
      </c>
      <c r="C78" s="17" t="s">
        <v>1338</v>
      </c>
      <c r="D78" s="17" t="s">
        <v>1154</v>
      </c>
      <c r="E78" s="17" t="s">
        <v>1387</v>
      </c>
      <c r="F78" s="17" t="s">
        <v>419</v>
      </c>
      <c r="G78" s="20">
        <v>280</v>
      </c>
    </row>
    <row r="79" spans="1:7" ht="24" hidden="1">
      <c r="A79" s="18" t="s">
        <v>417</v>
      </c>
      <c r="B79" s="53" t="s">
        <v>1105</v>
      </c>
      <c r="C79" s="17" t="s">
        <v>1338</v>
      </c>
      <c r="D79" s="17" t="s">
        <v>1154</v>
      </c>
      <c r="E79" s="17" t="s">
        <v>1387</v>
      </c>
      <c r="F79" s="17" t="s">
        <v>420</v>
      </c>
      <c r="G79" s="20">
        <v>280</v>
      </c>
    </row>
    <row r="80" spans="1:7" ht="24">
      <c r="A80" s="18" t="s">
        <v>515</v>
      </c>
      <c r="B80" s="53" t="s">
        <v>1105</v>
      </c>
      <c r="C80" s="17" t="s">
        <v>1338</v>
      </c>
      <c r="D80" s="17" t="s">
        <v>1154</v>
      </c>
      <c r="E80" s="17" t="s">
        <v>1387</v>
      </c>
      <c r="F80" s="17" t="s">
        <v>244</v>
      </c>
      <c r="G80" s="20">
        <v>36950</v>
      </c>
    </row>
    <row r="81" spans="1:7" ht="24">
      <c r="A81" s="179" t="s">
        <v>825</v>
      </c>
      <c r="B81" s="53" t="s">
        <v>1105</v>
      </c>
      <c r="C81" s="17" t="s">
        <v>1338</v>
      </c>
      <c r="D81" s="17" t="s">
        <v>1154</v>
      </c>
      <c r="E81" s="17" t="s">
        <v>1387</v>
      </c>
      <c r="F81" s="17" t="s">
        <v>1078</v>
      </c>
      <c r="G81" s="20">
        <v>643</v>
      </c>
    </row>
    <row r="82" spans="1:7" ht="15" hidden="1">
      <c r="A82" s="18" t="s">
        <v>1054</v>
      </c>
      <c r="B82" s="53" t="s">
        <v>1105</v>
      </c>
      <c r="C82" s="17" t="s">
        <v>1338</v>
      </c>
      <c r="D82" s="17" t="s">
        <v>1154</v>
      </c>
      <c r="E82" s="17" t="s">
        <v>1387</v>
      </c>
      <c r="F82" s="17" t="s">
        <v>1104</v>
      </c>
      <c r="G82" s="20"/>
    </row>
    <row r="83" spans="1:7" ht="64.5" customHeight="1" hidden="1">
      <c r="A83" s="18" t="s">
        <v>740</v>
      </c>
      <c r="B83" s="53" t="s">
        <v>1105</v>
      </c>
      <c r="C83" s="17" t="s">
        <v>1338</v>
      </c>
      <c r="D83" s="17" t="s">
        <v>1154</v>
      </c>
      <c r="E83" s="17" t="s">
        <v>1387</v>
      </c>
      <c r="F83" s="17" t="s">
        <v>1104</v>
      </c>
      <c r="G83" s="20"/>
    </row>
    <row r="84" spans="1:7" ht="36" customHeight="1" hidden="1">
      <c r="A84" s="18" t="s">
        <v>741</v>
      </c>
      <c r="B84" s="53" t="s">
        <v>1105</v>
      </c>
      <c r="C84" s="17" t="s">
        <v>1338</v>
      </c>
      <c r="D84" s="17" t="s">
        <v>1154</v>
      </c>
      <c r="E84" s="17" t="s">
        <v>1387</v>
      </c>
      <c r="F84" s="17" t="s">
        <v>1104</v>
      </c>
      <c r="G84" s="20"/>
    </row>
    <row r="85" spans="1:7" ht="15" hidden="1">
      <c r="A85" s="18" t="s">
        <v>236</v>
      </c>
      <c r="B85" s="53" t="s">
        <v>1105</v>
      </c>
      <c r="C85" s="17" t="s">
        <v>1338</v>
      </c>
      <c r="D85" s="17" t="s">
        <v>1154</v>
      </c>
      <c r="E85" s="17" t="s">
        <v>1387</v>
      </c>
      <c r="F85" s="17" t="s">
        <v>1104</v>
      </c>
      <c r="G85" s="20"/>
    </row>
    <row r="86" spans="1:7" ht="36">
      <c r="A86" s="36" t="s">
        <v>994</v>
      </c>
      <c r="B86" s="53" t="s">
        <v>1105</v>
      </c>
      <c r="C86" s="17" t="s">
        <v>1338</v>
      </c>
      <c r="D86" s="17" t="s">
        <v>1154</v>
      </c>
      <c r="E86" s="17" t="s">
        <v>1388</v>
      </c>
      <c r="F86" s="17" t="s">
        <v>1204</v>
      </c>
      <c r="G86" s="19">
        <f>G87</f>
        <v>496</v>
      </c>
    </row>
    <row r="87" spans="1:7" ht="24">
      <c r="A87" s="158" t="s">
        <v>405</v>
      </c>
      <c r="B87" s="53" t="s">
        <v>1105</v>
      </c>
      <c r="C87" s="17" t="s">
        <v>1338</v>
      </c>
      <c r="D87" s="17" t="s">
        <v>1154</v>
      </c>
      <c r="E87" s="17" t="s">
        <v>1388</v>
      </c>
      <c r="F87" s="17" t="s">
        <v>406</v>
      </c>
      <c r="G87" s="19">
        <f>G88</f>
        <v>496</v>
      </c>
    </row>
    <row r="88" spans="1:7" ht="24">
      <c r="A88" s="18" t="s">
        <v>546</v>
      </c>
      <c r="B88" s="53" t="s">
        <v>1105</v>
      </c>
      <c r="C88" s="17" t="s">
        <v>1338</v>
      </c>
      <c r="D88" s="17" t="s">
        <v>1154</v>
      </c>
      <c r="E88" s="17" t="s">
        <v>1388</v>
      </c>
      <c r="F88" s="17" t="s">
        <v>1015</v>
      </c>
      <c r="G88" s="20">
        <v>496</v>
      </c>
    </row>
    <row r="89" spans="1:7" ht="24" hidden="1">
      <c r="A89" s="18" t="s">
        <v>1064</v>
      </c>
      <c r="B89" s="53" t="s">
        <v>1105</v>
      </c>
      <c r="C89" s="17" t="s">
        <v>1338</v>
      </c>
      <c r="D89" s="17" t="s">
        <v>1154</v>
      </c>
      <c r="E89" s="17" t="s">
        <v>1388</v>
      </c>
      <c r="F89" s="17" t="s">
        <v>572</v>
      </c>
      <c r="G89" s="20"/>
    </row>
    <row r="90" spans="1:7" ht="36">
      <c r="A90" s="36" t="s">
        <v>885</v>
      </c>
      <c r="B90" s="53" t="s">
        <v>1105</v>
      </c>
      <c r="C90" s="17" t="s">
        <v>1338</v>
      </c>
      <c r="D90" s="17" t="s">
        <v>1154</v>
      </c>
      <c r="E90" s="17" t="s">
        <v>598</v>
      </c>
      <c r="F90" s="17"/>
      <c r="G90" s="19">
        <f>G91</f>
        <v>60339</v>
      </c>
    </row>
    <row r="91" spans="1:7" ht="108">
      <c r="A91" s="36" t="s">
        <v>89</v>
      </c>
      <c r="B91" s="53" t="s">
        <v>1105</v>
      </c>
      <c r="C91" s="17" t="s">
        <v>1338</v>
      </c>
      <c r="D91" s="17" t="s">
        <v>1154</v>
      </c>
      <c r="E91" s="17" t="s">
        <v>1065</v>
      </c>
      <c r="F91" s="17" t="s">
        <v>1204</v>
      </c>
      <c r="G91" s="19">
        <f>G92</f>
        <v>60339</v>
      </c>
    </row>
    <row r="92" spans="1:7" ht="24">
      <c r="A92" s="36" t="s">
        <v>459</v>
      </c>
      <c r="B92" s="53" t="s">
        <v>1105</v>
      </c>
      <c r="C92" s="17" t="s">
        <v>1338</v>
      </c>
      <c r="D92" s="17" t="s">
        <v>1154</v>
      </c>
      <c r="E92" s="17" t="s">
        <v>1065</v>
      </c>
      <c r="F92" s="17" t="s">
        <v>641</v>
      </c>
      <c r="G92" s="19">
        <f>G93+G96</f>
        <v>60339</v>
      </c>
    </row>
    <row r="93" spans="1:7" ht="24">
      <c r="A93" s="18" t="s">
        <v>460</v>
      </c>
      <c r="B93" s="53" t="s">
        <v>1105</v>
      </c>
      <c r="C93" s="17" t="s">
        <v>1338</v>
      </c>
      <c r="D93" s="17" t="s">
        <v>1154</v>
      </c>
      <c r="E93" s="17" t="s">
        <v>1065</v>
      </c>
      <c r="F93" s="17" t="s">
        <v>419</v>
      </c>
      <c r="G93" s="20">
        <f>59555.8+327.2</f>
        <v>59883</v>
      </c>
    </row>
    <row r="94" spans="1:7" ht="24" hidden="1">
      <c r="A94" s="18" t="s">
        <v>417</v>
      </c>
      <c r="B94" s="53" t="s">
        <v>1105</v>
      </c>
      <c r="C94" s="17" t="s">
        <v>1338</v>
      </c>
      <c r="D94" s="17" t="s">
        <v>1154</v>
      </c>
      <c r="E94" s="17" t="s">
        <v>1065</v>
      </c>
      <c r="F94" s="17" t="s">
        <v>420</v>
      </c>
      <c r="G94" s="20"/>
    </row>
    <row r="95" spans="1:7" ht="24">
      <c r="A95" s="18" t="s">
        <v>1385</v>
      </c>
      <c r="B95" s="53" t="s">
        <v>1105</v>
      </c>
      <c r="C95" s="17" t="s">
        <v>1338</v>
      </c>
      <c r="D95" s="17" t="s">
        <v>1154</v>
      </c>
      <c r="E95" s="17" t="s">
        <v>1065</v>
      </c>
      <c r="F95" s="17" t="s">
        <v>419</v>
      </c>
      <c r="G95" s="20">
        <v>327.2</v>
      </c>
    </row>
    <row r="96" spans="1:7" ht="24">
      <c r="A96" s="18" t="s">
        <v>515</v>
      </c>
      <c r="B96" s="53" t="s">
        <v>1105</v>
      </c>
      <c r="C96" s="17" t="s">
        <v>1338</v>
      </c>
      <c r="D96" s="17" t="s">
        <v>1154</v>
      </c>
      <c r="E96" s="17" t="s">
        <v>1065</v>
      </c>
      <c r="F96" s="17" t="s">
        <v>244</v>
      </c>
      <c r="G96" s="20">
        <v>456</v>
      </c>
    </row>
    <row r="97" spans="1:7" ht="36">
      <c r="A97" s="18" t="s">
        <v>1093</v>
      </c>
      <c r="B97" s="53" t="s">
        <v>1105</v>
      </c>
      <c r="C97" s="17" t="s">
        <v>1338</v>
      </c>
      <c r="D97" s="17" t="s">
        <v>1154</v>
      </c>
      <c r="E97" s="17" t="s">
        <v>163</v>
      </c>
      <c r="F97" s="17" t="s">
        <v>1204</v>
      </c>
      <c r="G97" s="19">
        <f>G98</f>
        <v>2602</v>
      </c>
    </row>
    <row r="98" spans="1:7" ht="24">
      <c r="A98" s="18" t="s">
        <v>1347</v>
      </c>
      <c r="B98" s="53" t="s">
        <v>1105</v>
      </c>
      <c r="C98" s="17" t="s">
        <v>1338</v>
      </c>
      <c r="D98" s="17" t="s">
        <v>1154</v>
      </c>
      <c r="E98" s="17" t="s">
        <v>163</v>
      </c>
      <c r="F98" s="17" t="s">
        <v>1204</v>
      </c>
      <c r="G98" s="19">
        <f>G99</f>
        <v>2602</v>
      </c>
    </row>
    <row r="99" spans="1:7" ht="24">
      <c r="A99" s="36" t="s">
        <v>459</v>
      </c>
      <c r="B99" s="53" t="s">
        <v>1105</v>
      </c>
      <c r="C99" s="17" t="s">
        <v>1338</v>
      </c>
      <c r="D99" s="17" t="s">
        <v>1154</v>
      </c>
      <c r="E99" s="17" t="s">
        <v>163</v>
      </c>
      <c r="F99" s="17" t="s">
        <v>641</v>
      </c>
      <c r="G99" s="19">
        <f>G100</f>
        <v>2602</v>
      </c>
    </row>
    <row r="100" spans="1:7" ht="24">
      <c r="A100" s="18" t="s">
        <v>418</v>
      </c>
      <c r="B100" s="53" t="s">
        <v>1105</v>
      </c>
      <c r="C100" s="17" t="s">
        <v>1338</v>
      </c>
      <c r="D100" s="17" t="s">
        <v>1154</v>
      </c>
      <c r="E100" s="17" t="s">
        <v>163</v>
      </c>
      <c r="F100" s="17" t="s">
        <v>419</v>
      </c>
      <c r="G100" s="20">
        <v>2602</v>
      </c>
    </row>
    <row r="101" spans="1:7" ht="24" hidden="1">
      <c r="A101" s="18" t="s">
        <v>417</v>
      </c>
      <c r="B101" s="53" t="s">
        <v>1105</v>
      </c>
      <c r="C101" s="17" t="s">
        <v>1338</v>
      </c>
      <c r="D101" s="17" t="s">
        <v>1154</v>
      </c>
      <c r="E101" s="17" t="s">
        <v>163</v>
      </c>
      <c r="F101" s="17" t="s">
        <v>420</v>
      </c>
      <c r="G101" s="20">
        <v>2602</v>
      </c>
    </row>
    <row r="102" spans="1:7" ht="48">
      <c r="A102" s="18" t="s">
        <v>116</v>
      </c>
      <c r="B102" s="53" t="s">
        <v>1105</v>
      </c>
      <c r="C102" s="17" t="s">
        <v>1338</v>
      </c>
      <c r="D102" s="17" t="s">
        <v>1154</v>
      </c>
      <c r="E102" s="17" t="s">
        <v>842</v>
      </c>
      <c r="F102" s="17" t="s">
        <v>1204</v>
      </c>
      <c r="G102" s="19">
        <f>G103</f>
        <v>2876</v>
      </c>
    </row>
    <row r="103" spans="1:7" ht="36">
      <c r="A103" s="18" t="s">
        <v>841</v>
      </c>
      <c r="B103" s="53" t="s">
        <v>1105</v>
      </c>
      <c r="C103" s="17" t="s">
        <v>1338</v>
      </c>
      <c r="D103" s="17" t="s">
        <v>1154</v>
      </c>
      <c r="E103" s="17" t="s">
        <v>842</v>
      </c>
      <c r="F103" s="17" t="s">
        <v>1204</v>
      </c>
      <c r="G103" s="19">
        <f>G104</f>
        <v>2876</v>
      </c>
    </row>
    <row r="104" spans="1:7" ht="24">
      <c r="A104" s="36" t="s">
        <v>459</v>
      </c>
      <c r="B104" s="53" t="s">
        <v>1105</v>
      </c>
      <c r="C104" s="17" t="s">
        <v>1338</v>
      </c>
      <c r="D104" s="17" t="s">
        <v>1154</v>
      </c>
      <c r="E104" s="17" t="s">
        <v>842</v>
      </c>
      <c r="F104" s="17" t="s">
        <v>641</v>
      </c>
      <c r="G104" s="19">
        <f>G105</f>
        <v>2876</v>
      </c>
    </row>
    <row r="105" spans="1:7" ht="24">
      <c r="A105" s="18" t="s">
        <v>418</v>
      </c>
      <c r="B105" s="53" t="s">
        <v>1105</v>
      </c>
      <c r="C105" s="17" t="s">
        <v>1338</v>
      </c>
      <c r="D105" s="17" t="s">
        <v>1154</v>
      </c>
      <c r="E105" s="17" t="s">
        <v>842</v>
      </c>
      <c r="F105" s="17" t="s">
        <v>419</v>
      </c>
      <c r="G105" s="20">
        <f>3316-440</f>
        <v>2876</v>
      </c>
    </row>
    <row r="106" spans="1:7" ht="32.25" customHeight="1" hidden="1">
      <c r="A106" s="18" t="s">
        <v>417</v>
      </c>
      <c r="B106" s="53" t="s">
        <v>1105</v>
      </c>
      <c r="C106" s="17" t="s">
        <v>1338</v>
      </c>
      <c r="D106" s="17" t="s">
        <v>1154</v>
      </c>
      <c r="E106" s="17" t="s">
        <v>842</v>
      </c>
      <c r="F106" s="17" t="s">
        <v>420</v>
      </c>
      <c r="G106" s="20">
        <v>3316</v>
      </c>
    </row>
    <row r="107" spans="1:7" ht="24">
      <c r="A107" s="173" t="s">
        <v>831</v>
      </c>
      <c r="B107" s="53" t="s">
        <v>1105</v>
      </c>
      <c r="C107" s="17" t="s">
        <v>1338</v>
      </c>
      <c r="D107" s="17" t="s">
        <v>1154</v>
      </c>
      <c r="E107" s="17" t="s">
        <v>1383</v>
      </c>
      <c r="F107" s="17" t="s">
        <v>1204</v>
      </c>
      <c r="G107" s="19">
        <f>G108+G113+G117+G120+G124</f>
        <v>12014</v>
      </c>
    </row>
    <row r="108" spans="1:7" ht="33.75" customHeight="1">
      <c r="A108" s="173" t="s">
        <v>1287</v>
      </c>
      <c r="B108" s="53" t="s">
        <v>1105</v>
      </c>
      <c r="C108" s="17" t="s">
        <v>1338</v>
      </c>
      <c r="D108" s="17" t="s">
        <v>1154</v>
      </c>
      <c r="E108" s="17" t="s">
        <v>832</v>
      </c>
      <c r="F108" s="17"/>
      <c r="G108" s="19">
        <f>G109</f>
        <v>9019</v>
      </c>
    </row>
    <row r="109" spans="1:7" ht="24">
      <c r="A109" s="36" t="s">
        <v>459</v>
      </c>
      <c r="B109" s="53" t="s">
        <v>1105</v>
      </c>
      <c r="C109" s="17" t="s">
        <v>1338</v>
      </c>
      <c r="D109" s="17" t="s">
        <v>1154</v>
      </c>
      <c r="E109" s="17" t="s">
        <v>832</v>
      </c>
      <c r="F109" s="17" t="s">
        <v>641</v>
      </c>
      <c r="G109" s="19">
        <f>G110+G112</f>
        <v>9019</v>
      </c>
    </row>
    <row r="110" spans="1:7" ht="24">
      <c r="A110" s="18" t="s">
        <v>418</v>
      </c>
      <c r="B110" s="53" t="s">
        <v>1105</v>
      </c>
      <c r="C110" s="17" t="s">
        <v>1338</v>
      </c>
      <c r="D110" s="17" t="s">
        <v>1154</v>
      </c>
      <c r="E110" s="17" t="s">
        <v>832</v>
      </c>
      <c r="F110" s="17" t="s">
        <v>419</v>
      </c>
      <c r="G110" s="20">
        <v>181</v>
      </c>
    </row>
    <row r="111" spans="1:7" ht="24" hidden="1">
      <c r="A111" s="18" t="s">
        <v>417</v>
      </c>
      <c r="B111" s="53" t="s">
        <v>1105</v>
      </c>
      <c r="C111" s="17" t="s">
        <v>1338</v>
      </c>
      <c r="D111" s="17" t="s">
        <v>1154</v>
      </c>
      <c r="E111" s="17" t="s">
        <v>832</v>
      </c>
      <c r="F111" s="17" t="s">
        <v>420</v>
      </c>
      <c r="G111" s="20">
        <v>181</v>
      </c>
    </row>
    <row r="112" spans="1:7" ht="24">
      <c r="A112" s="18" t="s">
        <v>515</v>
      </c>
      <c r="B112" s="53" t="s">
        <v>1105</v>
      </c>
      <c r="C112" s="17" t="s">
        <v>1338</v>
      </c>
      <c r="D112" s="17" t="s">
        <v>1154</v>
      </c>
      <c r="E112" s="17" t="s">
        <v>832</v>
      </c>
      <c r="F112" s="17" t="s">
        <v>244</v>
      </c>
      <c r="G112" s="20">
        <v>8838</v>
      </c>
    </row>
    <row r="113" spans="1:7" ht="30.75" customHeight="1">
      <c r="A113" s="18" t="s">
        <v>365</v>
      </c>
      <c r="B113" s="53" t="s">
        <v>1105</v>
      </c>
      <c r="C113" s="17" t="s">
        <v>1338</v>
      </c>
      <c r="D113" s="17" t="s">
        <v>1154</v>
      </c>
      <c r="E113" s="17" t="s">
        <v>628</v>
      </c>
      <c r="F113" s="17" t="s">
        <v>1204</v>
      </c>
      <c r="G113" s="19">
        <f>G114</f>
        <v>204</v>
      </c>
    </row>
    <row r="114" spans="1:7" ht="27.75" customHeight="1">
      <c r="A114" s="36" t="s">
        <v>459</v>
      </c>
      <c r="B114" s="53" t="s">
        <v>1105</v>
      </c>
      <c r="C114" s="17" t="s">
        <v>1338</v>
      </c>
      <c r="D114" s="17" t="s">
        <v>1154</v>
      </c>
      <c r="E114" s="17" t="s">
        <v>628</v>
      </c>
      <c r="F114" s="17" t="s">
        <v>641</v>
      </c>
      <c r="G114" s="19">
        <f>G115</f>
        <v>204</v>
      </c>
    </row>
    <row r="115" spans="1:7" ht="18" customHeight="1">
      <c r="A115" s="18" t="s">
        <v>243</v>
      </c>
      <c r="B115" s="53" t="s">
        <v>1105</v>
      </c>
      <c r="C115" s="17" t="s">
        <v>1338</v>
      </c>
      <c r="D115" s="17" t="s">
        <v>1154</v>
      </c>
      <c r="E115" s="17" t="s">
        <v>628</v>
      </c>
      <c r="F115" s="17" t="s">
        <v>244</v>
      </c>
      <c r="G115" s="20">
        <v>204</v>
      </c>
    </row>
    <row r="116" spans="1:7" ht="18" customHeight="1">
      <c r="A116" s="18" t="s">
        <v>359</v>
      </c>
      <c r="B116" s="53" t="s">
        <v>1105</v>
      </c>
      <c r="C116" s="17" t="s">
        <v>1338</v>
      </c>
      <c r="D116" s="17" t="s">
        <v>1154</v>
      </c>
      <c r="E116" s="17" t="s">
        <v>360</v>
      </c>
      <c r="F116" s="17"/>
      <c r="G116" s="19">
        <f>G117</f>
        <v>791</v>
      </c>
    </row>
    <row r="117" spans="1:7" ht="30" customHeight="1">
      <c r="A117" s="36" t="s">
        <v>459</v>
      </c>
      <c r="B117" s="53" t="s">
        <v>1105</v>
      </c>
      <c r="C117" s="17" t="s">
        <v>1338</v>
      </c>
      <c r="D117" s="17" t="s">
        <v>1154</v>
      </c>
      <c r="E117" s="17" t="s">
        <v>360</v>
      </c>
      <c r="F117" s="17" t="s">
        <v>641</v>
      </c>
      <c r="G117" s="19">
        <f>G118+G119</f>
        <v>791</v>
      </c>
    </row>
    <row r="118" spans="1:7" ht="18" customHeight="1">
      <c r="A118" s="18" t="s">
        <v>418</v>
      </c>
      <c r="B118" s="53" t="s">
        <v>1105</v>
      </c>
      <c r="C118" s="17" t="s">
        <v>1338</v>
      </c>
      <c r="D118" s="17" t="s">
        <v>1154</v>
      </c>
      <c r="E118" s="17" t="s">
        <v>360</v>
      </c>
      <c r="F118" s="17" t="s">
        <v>419</v>
      </c>
      <c r="G118" s="20">
        <v>269.5</v>
      </c>
    </row>
    <row r="119" spans="1:7" ht="18" customHeight="1">
      <c r="A119" s="18" t="s">
        <v>243</v>
      </c>
      <c r="B119" s="53" t="s">
        <v>1105</v>
      </c>
      <c r="C119" s="17" t="s">
        <v>1338</v>
      </c>
      <c r="D119" s="17" t="s">
        <v>1154</v>
      </c>
      <c r="E119" s="17" t="s">
        <v>360</v>
      </c>
      <c r="F119" s="17" t="s">
        <v>244</v>
      </c>
      <c r="G119" s="20">
        <v>521.5</v>
      </c>
    </row>
    <row r="120" spans="1:7" ht="50.25" customHeight="1" hidden="1">
      <c r="A120" s="18" t="s">
        <v>381</v>
      </c>
      <c r="B120" s="53" t="s">
        <v>1105</v>
      </c>
      <c r="C120" s="17" t="s">
        <v>1338</v>
      </c>
      <c r="D120" s="17" t="s">
        <v>1154</v>
      </c>
      <c r="E120" s="17" t="s">
        <v>380</v>
      </c>
      <c r="F120" s="17"/>
      <c r="G120" s="19">
        <f>G121</f>
        <v>0</v>
      </c>
    </row>
    <row r="121" spans="1:7" ht="24.75" customHeight="1" hidden="1">
      <c r="A121" s="36" t="s">
        <v>459</v>
      </c>
      <c r="B121" s="53" t="s">
        <v>1105</v>
      </c>
      <c r="C121" s="17" t="s">
        <v>1338</v>
      </c>
      <c r="D121" s="17" t="s">
        <v>1154</v>
      </c>
      <c r="E121" s="17" t="s">
        <v>380</v>
      </c>
      <c r="F121" s="17" t="s">
        <v>641</v>
      </c>
      <c r="G121" s="19">
        <f>G122</f>
        <v>0</v>
      </c>
    </row>
    <row r="122" spans="1:7" ht="18" customHeight="1" hidden="1">
      <c r="A122" s="18" t="s">
        <v>747</v>
      </c>
      <c r="B122" s="53" t="s">
        <v>1105</v>
      </c>
      <c r="C122" s="17" t="s">
        <v>1338</v>
      </c>
      <c r="D122" s="17" t="s">
        <v>1154</v>
      </c>
      <c r="E122" s="17" t="s">
        <v>380</v>
      </c>
      <c r="F122" s="17" t="s">
        <v>244</v>
      </c>
      <c r="G122" s="19">
        <f>G123</f>
        <v>0</v>
      </c>
    </row>
    <row r="123" spans="1:7" ht="54.75" customHeight="1" hidden="1">
      <c r="A123" s="18" t="s">
        <v>1452</v>
      </c>
      <c r="B123" s="53" t="s">
        <v>1105</v>
      </c>
      <c r="C123" s="17" t="s">
        <v>1338</v>
      </c>
      <c r="D123" s="17" t="s">
        <v>1154</v>
      </c>
      <c r="E123" s="17" t="s">
        <v>380</v>
      </c>
      <c r="F123" s="17" t="s">
        <v>244</v>
      </c>
      <c r="G123" s="20">
        <f>8043-8043</f>
        <v>0</v>
      </c>
    </row>
    <row r="124" spans="1:7" ht="43.5" customHeight="1">
      <c r="A124" s="18" t="s">
        <v>611</v>
      </c>
      <c r="B124" s="53" t="s">
        <v>1105</v>
      </c>
      <c r="C124" s="17" t="s">
        <v>1338</v>
      </c>
      <c r="D124" s="17" t="s">
        <v>1154</v>
      </c>
      <c r="E124" s="17" t="s">
        <v>610</v>
      </c>
      <c r="F124" s="17" t="s">
        <v>1204</v>
      </c>
      <c r="G124" s="19">
        <f>G125</f>
        <v>2000</v>
      </c>
    </row>
    <row r="125" spans="1:7" ht="23.25" customHeight="1">
      <c r="A125" s="36" t="s">
        <v>459</v>
      </c>
      <c r="B125" s="53" t="s">
        <v>1105</v>
      </c>
      <c r="C125" s="17" t="s">
        <v>1338</v>
      </c>
      <c r="D125" s="17" t="s">
        <v>1154</v>
      </c>
      <c r="E125" s="17" t="s">
        <v>610</v>
      </c>
      <c r="F125" s="17" t="s">
        <v>641</v>
      </c>
      <c r="G125" s="19">
        <f>G126</f>
        <v>2000</v>
      </c>
    </row>
    <row r="126" spans="1:7" ht="14.25" customHeight="1">
      <c r="A126" s="18" t="s">
        <v>243</v>
      </c>
      <c r="B126" s="53" t="s">
        <v>1105</v>
      </c>
      <c r="C126" s="17" t="s">
        <v>1338</v>
      </c>
      <c r="D126" s="17" t="s">
        <v>1154</v>
      </c>
      <c r="E126" s="17" t="s">
        <v>610</v>
      </c>
      <c r="F126" s="17" t="s">
        <v>244</v>
      </c>
      <c r="G126" s="20">
        <v>2000</v>
      </c>
    </row>
    <row r="127" spans="1:7" ht="24">
      <c r="A127" s="173" t="s">
        <v>831</v>
      </c>
      <c r="B127" s="53" t="s">
        <v>1105</v>
      </c>
      <c r="C127" s="17" t="s">
        <v>1338</v>
      </c>
      <c r="D127" s="17" t="s">
        <v>1154</v>
      </c>
      <c r="E127" s="17" t="s">
        <v>834</v>
      </c>
      <c r="F127" s="17" t="s">
        <v>1204</v>
      </c>
      <c r="G127" s="19">
        <f>G128</f>
        <v>129168.50000000001</v>
      </c>
    </row>
    <row r="128" spans="1:7" ht="24">
      <c r="A128" s="36" t="s">
        <v>459</v>
      </c>
      <c r="B128" s="53" t="s">
        <v>1105</v>
      </c>
      <c r="C128" s="54" t="s">
        <v>1338</v>
      </c>
      <c r="D128" s="54" t="s">
        <v>1154</v>
      </c>
      <c r="E128" s="17" t="s">
        <v>834</v>
      </c>
      <c r="F128" s="17" t="s">
        <v>641</v>
      </c>
      <c r="G128" s="19">
        <f>G129+G132</f>
        <v>129168.50000000001</v>
      </c>
    </row>
    <row r="129" spans="1:7" ht="24" customHeight="1">
      <c r="A129" s="18" t="s">
        <v>1103</v>
      </c>
      <c r="B129" s="53" t="s">
        <v>1105</v>
      </c>
      <c r="C129" s="54" t="s">
        <v>1338</v>
      </c>
      <c r="D129" s="54" t="s">
        <v>1154</v>
      </c>
      <c r="E129" s="17" t="s">
        <v>834</v>
      </c>
      <c r="F129" s="54" t="s">
        <v>419</v>
      </c>
      <c r="G129" s="20">
        <f>3758+38+46</f>
        <v>3842</v>
      </c>
    </row>
    <row r="130" spans="1:7" ht="19.5" customHeight="1" hidden="1">
      <c r="A130" s="18"/>
      <c r="B130" s="53" t="s">
        <v>1105</v>
      </c>
      <c r="C130" s="54" t="s">
        <v>1338</v>
      </c>
      <c r="D130" s="54" t="s">
        <v>1154</v>
      </c>
      <c r="E130" s="17" t="s">
        <v>834</v>
      </c>
      <c r="F130" s="54" t="s">
        <v>419</v>
      </c>
      <c r="G130" s="20">
        <v>0</v>
      </c>
    </row>
    <row r="131" spans="1:7" ht="15" hidden="1">
      <c r="A131" s="18"/>
      <c r="B131" s="53" t="s">
        <v>1105</v>
      </c>
      <c r="C131" s="54" t="s">
        <v>1338</v>
      </c>
      <c r="D131" s="54" t="s">
        <v>1154</v>
      </c>
      <c r="E131" s="17" t="s">
        <v>834</v>
      </c>
      <c r="F131" s="54" t="s">
        <v>419</v>
      </c>
      <c r="G131" s="19"/>
    </row>
    <row r="132" spans="1:7" ht="24">
      <c r="A132" s="18" t="s">
        <v>883</v>
      </c>
      <c r="B132" s="53" t="s">
        <v>1105</v>
      </c>
      <c r="C132" s="54" t="s">
        <v>1338</v>
      </c>
      <c r="D132" s="54" t="s">
        <v>1154</v>
      </c>
      <c r="E132" s="17" t="s">
        <v>834</v>
      </c>
      <c r="F132" s="54" t="s">
        <v>244</v>
      </c>
      <c r="G132" s="20">
        <f>130184.8+G135+G136+G137-9496-403+450+900+500-201.2+496.8+26+300+1037+1067.5+110.6-46</f>
        <v>125326.50000000001</v>
      </c>
    </row>
    <row r="133" spans="1:7" ht="15" hidden="1">
      <c r="A133" s="18" t="s">
        <v>884</v>
      </c>
      <c r="B133" s="53" t="s">
        <v>1105</v>
      </c>
      <c r="C133" s="54" t="s">
        <v>1338</v>
      </c>
      <c r="D133" s="54" t="s">
        <v>1154</v>
      </c>
      <c r="E133" s="17" t="s">
        <v>834</v>
      </c>
      <c r="F133" s="54" t="s">
        <v>244</v>
      </c>
      <c r="G133" s="20">
        <f>9496-9496</f>
        <v>0</v>
      </c>
    </row>
    <row r="134" spans="1:7" ht="60" hidden="1">
      <c r="A134" s="18" t="s">
        <v>857</v>
      </c>
      <c r="B134" s="53" t="s">
        <v>1105</v>
      </c>
      <c r="C134" s="54" t="s">
        <v>1338</v>
      </c>
      <c r="D134" s="54" t="s">
        <v>1154</v>
      </c>
      <c r="E134" s="17" t="s">
        <v>834</v>
      </c>
      <c r="F134" s="54" t="s">
        <v>244</v>
      </c>
      <c r="G134" s="20">
        <f>403-403</f>
        <v>0</v>
      </c>
    </row>
    <row r="135" spans="1:7" ht="36" hidden="1">
      <c r="A135" s="18" t="s">
        <v>604</v>
      </c>
      <c r="B135" s="53" t="s">
        <v>1105</v>
      </c>
      <c r="C135" s="54" t="s">
        <v>1338</v>
      </c>
      <c r="D135" s="54" t="s">
        <v>1154</v>
      </c>
      <c r="E135" s="17" t="s">
        <v>834</v>
      </c>
      <c r="F135" s="54" t="s">
        <v>244</v>
      </c>
      <c r="G135" s="20">
        <f>900-900</f>
        <v>0</v>
      </c>
    </row>
    <row r="136" spans="1:7" ht="48">
      <c r="A136" s="18" t="s">
        <v>605</v>
      </c>
      <c r="B136" s="53" t="s">
        <v>1105</v>
      </c>
      <c r="C136" s="54" t="s">
        <v>1338</v>
      </c>
      <c r="D136" s="54" t="s">
        <v>1154</v>
      </c>
      <c r="E136" s="17" t="s">
        <v>834</v>
      </c>
      <c r="F136" s="54" t="s">
        <v>244</v>
      </c>
      <c r="G136" s="20">
        <v>400</v>
      </c>
    </row>
    <row r="137" spans="1:7" ht="24" hidden="1">
      <c r="A137" s="18" t="s">
        <v>520</v>
      </c>
      <c r="B137" s="53" t="s">
        <v>1105</v>
      </c>
      <c r="C137" s="54" t="s">
        <v>1338</v>
      </c>
      <c r="D137" s="54" t="s">
        <v>1154</v>
      </c>
      <c r="E137" s="17" t="s">
        <v>834</v>
      </c>
      <c r="F137" s="54" t="s">
        <v>244</v>
      </c>
      <c r="G137" s="20">
        <v>0</v>
      </c>
    </row>
    <row r="138" spans="1:7" ht="24">
      <c r="A138" s="18" t="s">
        <v>904</v>
      </c>
      <c r="B138" s="53" t="s">
        <v>1105</v>
      </c>
      <c r="C138" s="54" t="s">
        <v>1338</v>
      </c>
      <c r="D138" s="54" t="s">
        <v>1154</v>
      </c>
      <c r="E138" s="17" t="s">
        <v>834</v>
      </c>
      <c r="F138" s="54" t="s">
        <v>244</v>
      </c>
      <c r="G138" s="20">
        <f>117.3+36.8</f>
        <v>154.1</v>
      </c>
    </row>
    <row r="139" spans="1:7" ht="24">
      <c r="A139" s="18" t="s">
        <v>1398</v>
      </c>
      <c r="B139" s="53" t="s">
        <v>1105</v>
      </c>
      <c r="C139" s="54" t="s">
        <v>1338</v>
      </c>
      <c r="D139" s="54" t="s">
        <v>1154</v>
      </c>
      <c r="E139" s="17" t="s">
        <v>834</v>
      </c>
      <c r="F139" s="54" t="s">
        <v>244</v>
      </c>
      <c r="G139" s="20">
        <f>69.8+26</f>
        <v>95.8</v>
      </c>
    </row>
    <row r="140" spans="1:7" ht="60">
      <c r="A140" s="18" t="s">
        <v>90</v>
      </c>
      <c r="B140" s="53" t="s">
        <v>1105</v>
      </c>
      <c r="C140" s="54" t="s">
        <v>1338</v>
      </c>
      <c r="D140" s="54" t="s">
        <v>1154</v>
      </c>
      <c r="E140" s="17" t="s">
        <v>834</v>
      </c>
      <c r="F140" s="54" t="s">
        <v>244</v>
      </c>
      <c r="G140" s="20">
        <v>496.8</v>
      </c>
    </row>
    <row r="141" spans="1:7" ht="24">
      <c r="A141" s="18" t="s">
        <v>840</v>
      </c>
      <c r="B141" s="53" t="s">
        <v>1105</v>
      </c>
      <c r="C141" s="54" t="s">
        <v>1338</v>
      </c>
      <c r="D141" s="54" t="s">
        <v>1154</v>
      </c>
      <c r="E141" s="17" t="s">
        <v>834</v>
      </c>
      <c r="F141" s="54" t="s">
        <v>244</v>
      </c>
      <c r="G141" s="20">
        <v>300</v>
      </c>
    </row>
    <row r="142" spans="1:7" ht="48">
      <c r="A142" s="36" t="s">
        <v>1085</v>
      </c>
      <c r="B142" s="53" t="s">
        <v>1105</v>
      </c>
      <c r="C142" s="54" t="s">
        <v>1338</v>
      </c>
      <c r="D142" s="54" t="s">
        <v>1154</v>
      </c>
      <c r="E142" s="17" t="s">
        <v>834</v>
      </c>
      <c r="F142" s="54" t="s">
        <v>244</v>
      </c>
      <c r="G142" s="20">
        <v>1037</v>
      </c>
    </row>
    <row r="143" spans="1:7" ht="48" hidden="1">
      <c r="A143" s="36" t="s">
        <v>1086</v>
      </c>
      <c r="B143" s="53" t="s">
        <v>1105</v>
      </c>
      <c r="C143" s="54" t="s">
        <v>1338</v>
      </c>
      <c r="D143" s="54" t="s">
        <v>1154</v>
      </c>
      <c r="E143" s="17" t="s">
        <v>834</v>
      </c>
      <c r="F143" s="54" t="s">
        <v>244</v>
      </c>
      <c r="G143" s="20">
        <f>170.6-170.6</f>
        <v>0</v>
      </c>
    </row>
    <row r="144" spans="1:7" ht="24">
      <c r="A144" s="36" t="s">
        <v>935</v>
      </c>
      <c r="B144" s="53" t="s">
        <v>1105</v>
      </c>
      <c r="C144" s="54" t="s">
        <v>1338</v>
      </c>
      <c r="D144" s="54" t="s">
        <v>1154</v>
      </c>
      <c r="E144" s="17" t="s">
        <v>834</v>
      </c>
      <c r="F144" s="54" t="s">
        <v>244</v>
      </c>
      <c r="G144" s="20">
        <v>110.6</v>
      </c>
    </row>
    <row r="145" spans="1:7" ht="24">
      <c r="A145" s="36" t="s">
        <v>236</v>
      </c>
      <c r="B145" s="53" t="s">
        <v>1105</v>
      </c>
      <c r="C145" s="54" t="s">
        <v>1338</v>
      </c>
      <c r="D145" s="54" t="s">
        <v>1154</v>
      </c>
      <c r="E145" s="17" t="s">
        <v>834</v>
      </c>
      <c r="F145" s="54" t="s">
        <v>244</v>
      </c>
      <c r="G145" s="20">
        <v>2080</v>
      </c>
    </row>
    <row r="146" spans="1:7" ht="36">
      <c r="A146" s="36" t="s">
        <v>885</v>
      </c>
      <c r="B146" s="53" t="s">
        <v>1105</v>
      </c>
      <c r="C146" s="54" t="s">
        <v>1338</v>
      </c>
      <c r="D146" s="54" t="s">
        <v>1154</v>
      </c>
      <c r="E146" s="54" t="s">
        <v>598</v>
      </c>
      <c r="F146" s="54" t="s">
        <v>1204</v>
      </c>
      <c r="G146" s="19">
        <f>G161+G156+G147+G153+G150</f>
        <v>29377.399999999998</v>
      </c>
    </row>
    <row r="147" spans="1:7" ht="24">
      <c r="A147" s="36" t="s">
        <v>459</v>
      </c>
      <c r="B147" s="53" t="s">
        <v>1105</v>
      </c>
      <c r="C147" s="54" t="s">
        <v>540</v>
      </c>
      <c r="D147" s="54" t="s">
        <v>1154</v>
      </c>
      <c r="E147" s="54" t="s">
        <v>122</v>
      </c>
      <c r="F147" s="54" t="s">
        <v>641</v>
      </c>
      <c r="G147" s="19">
        <f>G148</f>
        <v>6028.4</v>
      </c>
    </row>
    <row r="148" spans="1:7" ht="24">
      <c r="A148" s="18" t="s">
        <v>883</v>
      </c>
      <c r="B148" s="53" t="s">
        <v>1105</v>
      </c>
      <c r="C148" s="54" t="s">
        <v>540</v>
      </c>
      <c r="D148" s="54" t="s">
        <v>1154</v>
      </c>
      <c r="E148" s="54" t="s">
        <v>122</v>
      </c>
      <c r="F148" s="54" t="s">
        <v>244</v>
      </c>
      <c r="G148" s="19">
        <f>G149</f>
        <v>6028.4</v>
      </c>
    </row>
    <row r="149" spans="1:7" ht="60">
      <c r="A149" s="18" t="s">
        <v>539</v>
      </c>
      <c r="B149" s="53" t="s">
        <v>1105</v>
      </c>
      <c r="C149" s="54" t="s">
        <v>1338</v>
      </c>
      <c r="D149" s="54" t="s">
        <v>1154</v>
      </c>
      <c r="E149" s="54" t="s">
        <v>122</v>
      </c>
      <c r="F149" s="54" t="s">
        <v>244</v>
      </c>
      <c r="G149" s="20">
        <v>6028.4</v>
      </c>
    </row>
    <row r="150" spans="1:7" ht="24">
      <c r="A150" s="36" t="s">
        <v>459</v>
      </c>
      <c r="B150" s="53" t="s">
        <v>1105</v>
      </c>
      <c r="C150" s="54" t="s">
        <v>1338</v>
      </c>
      <c r="D150" s="54" t="s">
        <v>1154</v>
      </c>
      <c r="E150" s="54" t="s">
        <v>936</v>
      </c>
      <c r="F150" s="54" t="s">
        <v>641</v>
      </c>
      <c r="G150" s="313">
        <f>G151</f>
        <v>2454.4</v>
      </c>
    </row>
    <row r="151" spans="1:7" ht="24">
      <c r="A151" s="18" t="s">
        <v>883</v>
      </c>
      <c r="B151" s="53" t="s">
        <v>1105</v>
      </c>
      <c r="C151" s="54" t="s">
        <v>1338</v>
      </c>
      <c r="D151" s="54" t="s">
        <v>1154</v>
      </c>
      <c r="E151" s="54" t="s">
        <v>936</v>
      </c>
      <c r="F151" s="54" t="s">
        <v>244</v>
      </c>
      <c r="G151" s="313">
        <f>G152</f>
        <v>2454.4</v>
      </c>
    </row>
    <row r="152" spans="1:7" ht="24">
      <c r="A152" s="18" t="s">
        <v>937</v>
      </c>
      <c r="B152" s="53" t="s">
        <v>1105</v>
      </c>
      <c r="C152" s="54" t="s">
        <v>1338</v>
      </c>
      <c r="D152" s="54" t="s">
        <v>1154</v>
      </c>
      <c r="E152" s="54" t="s">
        <v>936</v>
      </c>
      <c r="F152" s="54" t="s">
        <v>244</v>
      </c>
      <c r="G152" s="20">
        <v>2454.4</v>
      </c>
    </row>
    <row r="153" spans="1:7" ht="24">
      <c r="A153" s="36" t="s">
        <v>459</v>
      </c>
      <c r="B153" s="53" t="s">
        <v>1105</v>
      </c>
      <c r="C153" s="54" t="s">
        <v>1338</v>
      </c>
      <c r="D153" s="54" t="s">
        <v>1154</v>
      </c>
      <c r="E153" s="54" t="s">
        <v>538</v>
      </c>
      <c r="F153" s="54" t="s">
        <v>641</v>
      </c>
      <c r="G153" s="19">
        <f>G154</f>
        <v>7166.8</v>
      </c>
    </row>
    <row r="154" spans="1:7" ht="24">
      <c r="A154" s="18" t="s">
        <v>883</v>
      </c>
      <c r="B154" s="53" t="s">
        <v>1105</v>
      </c>
      <c r="C154" s="54" t="s">
        <v>1338</v>
      </c>
      <c r="D154" s="54" t="s">
        <v>1154</v>
      </c>
      <c r="E154" s="54" t="s">
        <v>538</v>
      </c>
      <c r="F154" s="54" t="s">
        <v>244</v>
      </c>
      <c r="G154" s="19">
        <f>G155</f>
        <v>7166.8</v>
      </c>
    </row>
    <row r="155" spans="1:7" ht="60">
      <c r="A155" s="18" t="s">
        <v>539</v>
      </c>
      <c r="B155" s="53" t="s">
        <v>1105</v>
      </c>
      <c r="C155" s="54" t="s">
        <v>1338</v>
      </c>
      <c r="D155" s="54" t="s">
        <v>1154</v>
      </c>
      <c r="E155" s="54" t="s">
        <v>538</v>
      </c>
      <c r="F155" s="54" t="s">
        <v>244</v>
      </c>
      <c r="G155" s="20">
        <v>7166.8</v>
      </c>
    </row>
    <row r="156" spans="1:7" ht="24">
      <c r="A156" s="36" t="s">
        <v>459</v>
      </c>
      <c r="B156" s="53" t="s">
        <v>1105</v>
      </c>
      <c r="C156" s="54" t="s">
        <v>1338</v>
      </c>
      <c r="D156" s="54" t="s">
        <v>1154</v>
      </c>
      <c r="E156" s="54" t="s">
        <v>782</v>
      </c>
      <c r="F156" s="54" t="s">
        <v>641</v>
      </c>
      <c r="G156" s="19">
        <f>G157</f>
        <v>2081.8</v>
      </c>
    </row>
    <row r="157" spans="1:7" ht="24">
      <c r="A157" s="18" t="s">
        <v>883</v>
      </c>
      <c r="B157" s="53" t="s">
        <v>1105</v>
      </c>
      <c r="C157" s="54" t="s">
        <v>1338</v>
      </c>
      <c r="D157" s="54" t="s">
        <v>1154</v>
      </c>
      <c r="E157" s="54" t="s">
        <v>782</v>
      </c>
      <c r="F157" s="54" t="s">
        <v>244</v>
      </c>
      <c r="G157" s="19">
        <f>G158+G159+G160</f>
        <v>2081.8</v>
      </c>
    </row>
    <row r="158" spans="1:7" ht="24">
      <c r="A158" s="18" t="s">
        <v>1503</v>
      </c>
      <c r="B158" s="53" t="s">
        <v>1105</v>
      </c>
      <c r="C158" s="54" t="s">
        <v>1338</v>
      </c>
      <c r="D158" s="54" t="s">
        <v>1154</v>
      </c>
      <c r="E158" s="54" t="s">
        <v>782</v>
      </c>
      <c r="F158" s="54" t="s">
        <v>244</v>
      </c>
      <c r="G158" s="20">
        <v>201.2</v>
      </c>
    </row>
    <row r="159" spans="1:7" ht="36">
      <c r="A159" s="18" t="s">
        <v>429</v>
      </c>
      <c r="B159" s="53" t="s">
        <v>1105</v>
      </c>
      <c r="C159" s="54" t="s">
        <v>1338</v>
      </c>
      <c r="D159" s="54" t="s">
        <v>1154</v>
      </c>
      <c r="E159" s="54" t="s">
        <v>782</v>
      </c>
      <c r="F159" s="54" t="s">
        <v>244</v>
      </c>
      <c r="G159" s="20">
        <v>1710</v>
      </c>
    </row>
    <row r="160" spans="1:7" ht="48">
      <c r="A160" s="36" t="s">
        <v>1086</v>
      </c>
      <c r="B160" s="53" t="s">
        <v>1105</v>
      </c>
      <c r="C160" s="54" t="s">
        <v>1338</v>
      </c>
      <c r="D160" s="54" t="s">
        <v>1154</v>
      </c>
      <c r="E160" s="54" t="s">
        <v>782</v>
      </c>
      <c r="F160" s="54" t="s">
        <v>244</v>
      </c>
      <c r="G160" s="20">
        <v>170.6</v>
      </c>
    </row>
    <row r="161" spans="1:7" ht="24">
      <c r="A161" s="36" t="s">
        <v>459</v>
      </c>
      <c r="B161" s="53" t="s">
        <v>1105</v>
      </c>
      <c r="C161" s="54" t="s">
        <v>1338</v>
      </c>
      <c r="D161" s="54" t="s">
        <v>1154</v>
      </c>
      <c r="E161" s="54" t="s">
        <v>835</v>
      </c>
      <c r="F161" s="54" t="s">
        <v>641</v>
      </c>
      <c r="G161" s="19">
        <f>G162</f>
        <v>11646</v>
      </c>
    </row>
    <row r="162" spans="1:7" ht="24">
      <c r="A162" s="18" t="s">
        <v>418</v>
      </c>
      <c r="B162" s="53" t="s">
        <v>1105</v>
      </c>
      <c r="C162" s="54" t="s">
        <v>1338</v>
      </c>
      <c r="D162" s="54" t="s">
        <v>1154</v>
      </c>
      <c r="E162" s="54" t="s">
        <v>835</v>
      </c>
      <c r="F162" s="54" t="s">
        <v>419</v>
      </c>
      <c r="G162" s="20">
        <f>12049-403</f>
        <v>11646</v>
      </c>
    </row>
    <row r="163" spans="1:7" ht="24" hidden="1">
      <c r="A163" s="18" t="s">
        <v>417</v>
      </c>
      <c r="B163" s="53" t="s">
        <v>1105</v>
      </c>
      <c r="C163" s="54" t="s">
        <v>1338</v>
      </c>
      <c r="D163" s="54" t="s">
        <v>1154</v>
      </c>
      <c r="E163" s="54" t="s">
        <v>835</v>
      </c>
      <c r="F163" s="54" t="s">
        <v>420</v>
      </c>
      <c r="G163" s="20">
        <v>12049</v>
      </c>
    </row>
    <row r="164" spans="1:7" ht="60">
      <c r="A164" s="18" t="s">
        <v>1274</v>
      </c>
      <c r="B164" s="53" t="s">
        <v>1105</v>
      </c>
      <c r="C164" s="54" t="s">
        <v>1338</v>
      </c>
      <c r="D164" s="54" t="s">
        <v>1154</v>
      </c>
      <c r="E164" s="54" t="s">
        <v>599</v>
      </c>
      <c r="F164" s="54"/>
      <c r="G164" s="19">
        <f>G165+G169+G173+G183</f>
        <v>101820</v>
      </c>
    </row>
    <row r="165" spans="1:7" ht="60">
      <c r="A165" s="18" t="s">
        <v>1274</v>
      </c>
      <c r="B165" s="53" t="s">
        <v>1105</v>
      </c>
      <c r="C165" s="54" t="s">
        <v>1338</v>
      </c>
      <c r="D165" s="54" t="s">
        <v>1154</v>
      </c>
      <c r="E165" s="54" t="s">
        <v>1243</v>
      </c>
      <c r="F165" s="54" t="s">
        <v>1204</v>
      </c>
      <c r="G165" s="19">
        <f>G166</f>
        <v>9430</v>
      </c>
    </row>
    <row r="166" spans="1:7" ht="24">
      <c r="A166" s="36" t="s">
        <v>459</v>
      </c>
      <c r="B166" s="53" t="s">
        <v>1105</v>
      </c>
      <c r="C166" s="54" t="s">
        <v>1338</v>
      </c>
      <c r="D166" s="54" t="s">
        <v>1154</v>
      </c>
      <c r="E166" s="54" t="s">
        <v>1243</v>
      </c>
      <c r="F166" s="54" t="s">
        <v>641</v>
      </c>
      <c r="G166" s="19">
        <f>G167+G168</f>
        <v>9430</v>
      </c>
    </row>
    <row r="167" spans="1:7" ht="24">
      <c r="A167" s="18" t="s">
        <v>418</v>
      </c>
      <c r="B167" s="53" t="s">
        <v>1105</v>
      </c>
      <c r="C167" s="54" t="s">
        <v>1338</v>
      </c>
      <c r="D167" s="54" t="s">
        <v>1154</v>
      </c>
      <c r="E167" s="54" t="s">
        <v>1243</v>
      </c>
      <c r="F167" s="54" t="s">
        <v>419</v>
      </c>
      <c r="G167" s="20">
        <f>7728-419.8</f>
        <v>7308.2</v>
      </c>
    </row>
    <row r="168" spans="1:7" ht="24">
      <c r="A168" s="18" t="s">
        <v>515</v>
      </c>
      <c r="B168" s="53" t="s">
        <v>1105</v>
      </c>
      <c r="C168" s="54" t="s">
        <v>1338</v>
      </c>
      <c r="D168" s="54" t="s">
        <v>1154</v>
      </c>
      <c r="E168" s="54" t="s">
        <v>1243</v>
      </c>
      <c r="F168" s="54" t="s">
        <v>244</v>
      </c>
      <c r="G168" s="20">
        <f>1702+419.8</f>
        <v>2121.8</v>
      </c>
    </row>
    <row r="169" spans="1:7" ht="48">
      <c r="A169" s="18" t="s">
        <v>116</v>
      </c>
      <c r="B169" s="53" t="s">
        <v>1105</v>
      </c>
      <c r="C169" s="54" t="s">
        <v>1338</v>
      </c>
      <c r="D169" s="54" t="s">
        <v>1154</v>
      </c>
      <c r="E169" s="54" t="s">
        <v>93</v>
      </c>
      <c r="F169" s="54" t="s">
        <v>1204</v>
      </c>
      <c r="G169" s="19">
        <f>G170</f>
        <v>650</v>
      </c>
    </row>
    <row r="170" spans="1:7" ht="24">
      <c r="A170" s="36" t="s">
        <v>97</v>
      </c>
      <c r="B170" s="53" t="s">
        <v>1105</v>
      </c>
      <c r="C170" s="54" t="s">
        <v>1338</v>
      </c>
      <c r="D170" s="54" t="s">
        <v>1154</v>
      </c>
      <c r="E170" s="54" t="s">
        <v>92</v>
      </c>
      <c r="F170" s="54" t="s">
        <v>641</v>
      </c>
      <c r="G170" s="19">
        <f>G171+G172</f>
        <v>650</v>
      </c>
    </row>
    <row r="171" spans="1:7" ht="60">
      <c r="A171" s="18" t="s">
        <v>107</v>
      </c>
      <c r="B171" s="53" t="s">
        <v>1105</v>
      </c>
      <c r="C171" s="54" t="s">
        <v>1338</v>
      </c>
      <c r="D171" s="54" t="s">
        <v>1154</v>
      </c>
      <c r="E171" s="54" t="s">
        <v>92</v>
      </c>
      <c r="F171" s="54" t="s">
        <v>244</v>
      </c>
      <c r="G171" s="20">
        <v>250</v>
      </c>
    </row>
    <row r="172" spans="1:7" ht="36">
      <c r="A172" s="18" t="s">
        <v>106</v>
      </c>
      <c r="B172" s="53" t="s">
        <v>1105</v>
      </c>
      <c r="C172" s="54" t="s">
        <v>1338</v>
      </c>
      <c r="D172" s="54" t="s">
        <v>1154</v>
      </c>
      <c r="E172" s="54" t="s">
        <v>92</v>
      </c>
      <c r="F172" s="54" t="s">
        <v>244</v>
      </c>
      <c r="G172" s="20">
        <v>400</v>
      </c>
    </row>
    <row r="173" spans="1:7" ht="24">
      <c r="A173" s="36" t="s">
        <v>459</v>
      </c>
      <c r="B173" s="53" t="s">
        <v>1105</v>
      </c>
      <c r="C173" s="54" t="s">
        <v>1338</v>
      </c>
      <c r="D173" s="54" t="s">
        <v>1154</v>
      </c>
      <c r="E173" s="54" t="s">
        <v>836</v>
      </c>
      <c r="F173" s="54" t="s">
        <v>641</v>
      </c>
      <c r="G173" s="19">
        <f>G174+G181</f>
        <v>67842</v>
      </c>
    </row>
    <row r="174" spans="1:7" ht="24">
      <c r="A174" s="18" t="s">
        <v>460</v>
      </c>
      <c r="B174" s="53" t="s">
        <v>1105</v>
      </c>
      <c r="C174" s="54" t="s">
        <v>1338</v>
      </c>
      <c r="D174" s="54" t="s">
        <v>1154</v>
      </c>
      <c r="E174" s="54" t="s">
        <v>836</v>
      </c>
      <c r="F174" s="54" t="s">
        <v>419</v>
      </c>
      <c r="G174" s="20">
        <f>63790+456-7728-3129.8+24+300+904</f>
        <v>54616.2</v>
      </c>
    </row>
    <row r="175" spans="1:7" ht="24" hidden="1">
      <c r="A175" s="18" t="s">
        <v>417</v>
      </c>
      <c r="B175" s="53" t="s">
        <v>1105</v>
      </c>
      <c r="C175" s="54" t="s">
        <v>1338</v>
      </c>
      <c r="D175" s="54" t="s">
        <v>1154</v>
      </c>
      <c r="E175" s="54" t="s">
        <v>836</v>
      </c>
      <c r="F175" s="54" t="s">
        <v>420</v>
      </c>
      <c r="G175" s="20">
        <v>63790</v>
      </c>
    </row>
    <row r="176" spans="1:7" ht="15" hidden="1">
      <c r="A176" s="18" t="s">
        <v>32</v>
      </c>
      <c r="B176" s="53" t="s">
        <v>1105</v>
      </c>
      <c r="C176" s="54" t="s">
        <v>1338</v>
      </c>
      <c r="D176" s="54" t="s">
        <v>1154</v>
      </c>
      <c r="E176" s="54" t="s">
        <v>836</v>
      </c>
      <c r="F176" s="54" t="s">
        <v>88</v>
      </c>
      <c r="G176" s="19">
        <f>G177+G178</f>
        <v>0</v>
      </c>
    </row>
    <row r="177" spans="1:7" ht="24" hidden="1">
      <c r="A177" s="18" t="s">
        <v>220</v>
      </c>
      <c r="B177" s="53" t="s">
        <v>1105</v>
      </c>
      <c r="C177" s="54" t="s">
        <v>1338</v>
      </c>
      <c r="D177" s="54" t="s">
        <v>1154</v>
      </c>
      <c r="E177" s="54" t="s">
        <v>836</v>
      </c>
      <c r="F177" s="54" t="s">
        <v>88</v>
      </c>
      <c r="G177" s="20"/>
    </row>
    <row r="178" spans="1:7" ht="15" hidden="1">
      <c r="A178" s="18" t="s">
        <v>236</v>
      </c>
      <c r="B178" s="53" t="s">
        <v>1105</v>
      </c>
      <c r="C178" s="54" t="s">
        <v>1338</v>
      </c>
      <c r="D178" s="54" t="s">
        <v>1154</v>
      </c>
      <c r="E178" s="54" t="s">
        <v>836</v>
      </c>
      <c r="F178" s="54" t="s">
        <v>88</v>
      </c>
      <c r="G178" s="20"/>
    </row>
    <row r="179" spans="1:7" ht="24">
      <c r="A179" s="18" t="s">
        <v>1398</v>
      </c>
      <c r="B179" s="53" t="s">
        <v>1105</v>
      </c>
      <c r="C179" s="54" t="s">
        <v>1338</v>
      </c>
      <c r="D179" s="54" t="s">
        <v>1154</v>
      </c>
      <c r="E179" s="54" t="s">
        <v>836</v>
      </c>
      <c r="F179" s="54" t="s">
        <v>419</v>
      </c>
      <c r="G179" s="20">
        <v>24</v>
      </c>
    </row>
    <row r="180" spans="1:7" ht="24">
      <c r="A180" s="18" t="s">
        <v>840</v>
      </c>
      <c r="B180" s="53" t="s">
        <v>1105</v>
      </c>
      <c r="C180" s="54" t="s">
        <v>1338</v>
      </c>
      <c r="D180" s="54" t="s">
        <v>1154</v>
      </c>
      <c r="E180" s="54" t="s">
        <v>836</v>
      </c>
      <c r="F180" s="54" t="s">
        <v>419</v>
      </c>
      <c r="G180" s="20">
        <v>300</v>
      </c>
    </row>
    <row r="181" spans="1:7" ht="24">
      <c r="A181" s="18" t="s">
        <v>515</v>
      </c>
      <c r="B181" s="53" t="s">
        <v>1105</v>
      </c>
      <c r="C181" s="54" t="s">
        <v>1338</v>
      </c>
      <c r="D181" s="54" t="s">
        <v>1154</v>
      </c>
      <c r="E181" s="54" t="s">
        <v>836</v>
      </c>
      <c r="F181" s="54" t="s">
        <v>244</v>
      </c>
      <c r="G181" s="20">
        <f>12254-456-1702+3129.8</f>
        <v>13225.8</v>
      </c>
    </row>
    <row r="182" spans="1:7" ht="24" hidden="1">
      <c r="A182" s="18" t="s">
        <v>1457</v>
      </c>
      <c r="B182" s="53" t="s">
        <v>1105</v>
      </c>
      <c r="C182" s="54" t="s">
        <v>1338</v>
      </c>
      <c r="D182" s="54" t="s">
        <v>1154</v>
      </c>
      <c r="E182" s="54" t="s">
        <v>836</v>
      </c>
      <c r="F182" s="54" t="s">
        <v>245</v>
      </c>
      <c r="G182" s="20">
        <v>12254</v>
      </c>
    </row>
    <row r="183" spans="1:7" ht="24">
      <c r="A183" s="36" t="s">
        <v>459</v>
      </c>
      <c r="B183" s="53" t="s">
        <v>1105</v>
      </c>
      <c r="C183" s="54" t="s">
        <v>1338</v>
      </c>
      <c r="D183" s="54" t="s">
        <v>1154</v>
      </c>
      <c r="E183" s="54" t="s">
        <v>837</v>
      </c>
      <c r="F183" s="54" t="s">
        <v>641</v>
      </c>
      <c r="G183" s="19">
        <f>G184</f>
        <v>23898</v>
      </c>
    </row>
    <row r="184" spans="1:7" ht="24">
      <c r="A184" s="18" t="s">
        <v>418</v>
      </c>
      <c r="B184" s="53" t="s">
        <v>1105</v>
      </c>
      <c r="C184" s="54" t="s">
        <v>1338</v>
      </c>
      <c r="D184" s="54" t="s">
        <v>1154</v>
      </c>
      <c r="E184" s="54" t="s">
        <v>837</v>
      </c>
      <c r="F184" s="54" t="s">
        <v>419</v>
      </c>
      <c r="G184" s="20">
        <f>25648-1500-250</f>
        <v>23898</v>
      </c>
    </row>
    <row r="185" spans="1:7" ht="36">
      <c r="A185" s="18" t="s">
        <v>822</v>
      </c>
      <c r="B185" s="53" t="s">
        <v>1105</v>
      </c>
      <c r="C185" s="54" t="s">
        <v>1338</v>
      </c>
      <c r="D185" s="54" t="s">
        <v>1154</v>
      </c>
      <c r="E185" s="54" t="s">
        <v>606</v>
      </c>
      <c r="F185" s="54"/>
      <c r="G185" s="19">
        <f>G186+G190+G195+G204</f>
        <v>35744.5</v>
      </c>
    </row>
    <row r="186" spans="1:7" ht="24">
      <c r="A186" s="36" t="s">
        <v>459</v>
      </c>
      <c r="B186" s="53" t="s">
        <v>1105</v>
      </c>
      <c r="C186" s="54" t="s">
        <v>1338</v>
      </c>
      <c r="D186" s="54" t="s">
        <v>1154</v>
      </c>
      <c r="E186" s="54" t="s">
        <v>607</v>
      </c>
      <c r="F186" s="54" t="s">
        <v>641</v>
      </c>
      <c r="G186" s="19">
        <f>G188</f>
        <v>8043</v>
      </c>
    </row>
    <row r="187" spans="1:7" ht="15" hidden="1">
      <c r="A187" s="18" t="s">
        <v>418</v>
      </c>
      <c r="B187" s="53" t="s">
        <v>1105</v>
      </c>
      <c r="C187" s="54" t="s">
        <v>1338</v>
      </c>
      <c r="D187" s="54" t="s">
        <v>1154</v>
      </c>
      <c r="E187" s="54" t="s">
        <v>607</v>
      </c>
      <c r="F187" s="54" t="s">
        <v>419</v>
      </c>
      <c r="G187" s="19"/>
    </row>
    <row r="188" spans="1:7" ht="24">
      <c r="A188" s="18" t="s">
        <v>746</v>
      </c>
      <c r="B188" s="53" t="s">
        <v>1105</v>
      </c>
      <c r="C188" s="54" t="s">
        <v>1338</v>
      </c>
      <c r="D188" s="54" t="s">
        <v>1154</v>
      </c>
      <c r="E188" s="54" t="s">
        <v>607</v>
      </c>
      <c r="F188" s="54" t="s">
        <v>244</v>
      </c>
      <c r="G188" s="19">
        <f>G189</f>
        <v>8043</v>
      </c>
    </row>
    <row r="189" spans="1:7" ht="60">
      <c r="A189" s="18" t="s">
        <v>1452</v>
      </c>
      <c r="B189" s="53" t="s">
        <v>1105</v>
      </c>
      <c r="C189" s="54" t="s">
        <v>1338</v>
      </c>
      <c r="D189" s="54" t="s">
        <v>1154</v>
      </c>
      <c r="E189" s="54" t="s">
        <v>607</v>
      </c>
      <c r="F189" s="54" t="s">
        <v>244</v>
      </c>
      <c r="G189" s="20">
        <v>8043</v>
      </c>
    </row>
    <row r="190" spans="1:7" ht="24">
      <c r="A190" s="36" t="s">
        <v>270</v>
      </c>
      <c r="B190" s="53" t="s">
        <v>1105</v>
      </c>
      <c r="C190" s="54" t="s">
        <v>1338</v>
      </c>
      <c r="D190" s="54" t="s">
        <v>1154</v>
      </c>
      <c r="E190" s="54" t="s">
        <v>608</v>
      </c>
      <c r="F190" s="54" t="s">
        <v>312</v>
      </c>
      <c r="G190" s="19">
        <f>G191</f>
        <v>4956</v>
      </c>
    </row>
    <row r="191" spans="1:7" ht="36">
      <c r="A191" s="36" t="s">
        <v>1005</v>
      </c>
      <c r="B191" s="53" t="s">
        <v>1105</v>
      </c>
      <c r="C191" s="54" t="s">
        <v>1338</v>
      </c>
      <c r="D191" s="54" t="s">
        <v>1154</v>
      </c>
      <c r="E191" s="54" t="s">
        <v>608</v>
      </c>
      <c r="F191" s="54" t="s">
        <v>1174</v>
      </c>
      <c r="G191" s="19">
        <f>G192+G193+G194</f>
        <v>4956</v>
      </c>
    </row>
    <row r="192" spans="1:7" ht="48">
      <c r="A192" s="18" t="s">
        <v>1130</v>
      </c>
      <c r="B192" s="53" t="s">
        <v>1105</v>
      </c>
      <c r="C192" s="54" t="s">
        <v>1338</v>
      </c>
      <c r="D192" s="54" t="s">
        <v>1154</v>
      </c>
      <c r="E192" s="54" t="s">
        <v>608</v>
      </c>
      <c r="F192" s="54" t="s">
        <v>1174</v>
      </c>
      <c r="G192" s="20">
        <v>950</v>
      </c>
    </row>
    <row r="193" spans="1:7" ht="24">
      <c r="A193" s="18" t="s">
        <v>94</v>
      </c>
      <c r="B193" s="53" t="s">
        <v>1105</v>
      </c>
      <c r="C193" s="54" t="s">
        <v>1338</v>
      </c>
      <c r="D193" s="54" t="s">
        <v>1154</v>
      </c>
      <c r="E193" s="54" t="s">
        <v>608</v>
      </c>
      <c r="F193" s="54" t="s">
        <v>1174</v>
      </c>
      <c r="G193" s="20">
        <v>3286.1</v>
      </c>
    </row>
    <row r="194" spans="1:7" ht="24">
      <c r="A194" s="18" t="s">
        <v>856</v>
      </c>
      <c r="B194" s="53" t="s">
        <v>1105</v>
      </c>
      <c r="C194" s="54" t="s">
        <v>1338</v>
      </c>
      <c r="D194" s="54" t="s">
        <v>1154</v>
      </c>
      <c r="E194" s="54" t="s">
        <v>608</v>
      </c>
      <c r="F194" s="54" t="s">
        <v>1174</v>
      </c>
      <c r="G194" s="20">
        <v>719.9</v>
      </c>
    </row>
    <row r="195" spans="1:7" ht="24">
      <c r="A195" s="36" t="s">
        <v>459</v>
      </c>
      <c r="B195" s="53" t="s">
        <v>1105</v>
      </c>
      <c r="C195" s="54" t="s">
        <v>1338</v>
      </c>
      <c r="D195" s="54" t="s">
        <v>1154</v>
      </c>
      <c r="E195" s="54" t="s">
        <v>608</v>
      </c>
      <c r="F195" s="54" t="s">
        <v>641</v>
      </c>
      <c r="G195" s="19">
        <f>G196+G198</f>
        <v>20079.5</v>
      </c>
    </row>
    <row r="196" spans="1:7" ht="24">
      <c r="A196" s="18" t="s">
        <v>521</v>
      </c>
      <c r="B196" s="53" t="s">
        <v>1105</v>
      </c>
      <c r="C196" s="54" t="s">
        <v>1338</v>
      </c>
      <c r="D196" s="54" t="s">
        <v>1154</v>
      </c>
      <c r="E196" s="54" t="s">
        <v>608</v>
      </c>
      <c r="F196" s="54" t="s">
        <v>419</v>
      </c>
      <c r="G196" s="19">
        <f>G197</f>
        <v>853.5</v>
      </c>
    </row>
    <row r="197" spans="1:7" ht="24">
      <c r="A197" s="18" t="s">
        <v>519</v>
      </c>
      <c r="B197" s="53" t="s">
        <v>1105</v>
      </c>
      <c r="C197" s="54" t="s">
        <v>1338</v>
      </c>
      <c r="D197" s="54" t="s">
        <v>1154</v>
      </c>
      <c r="E197" s="54" t="s">
        <v>608</v>
      </c>
      <c r="F197" s="54" t="s">
        <v>419</v>
      </c>
      <c r="G197" s="20">
        <v>853.5</v>
      </c>
    </row>
    <row r="198" spans="1:7" ht="24">
      <c r="A198" s="18" t="s">
        <v>747</v>
      </c>
      <c r="B198" s="53" t="s">
        <v>1105</v>
      </c>
      <c r="C198" s="54" t="s">
        <v>1338</v>
      </c>
      <c r="D198" s="54" t="s">
        <v>1154</v>
      </c>
      <c r="E198" s="54" t="s">
        <v>608</v>
      </c>
      <c r="F198" s="54" t="s">
        <v>244</v>
      </c>
      <c r="G198" s="19">
        <f>G199+G200+G201+G202+G203</f>
        <v>19226</v>
      </c>
    </row>
    <row r="199" spans="1:7" ht="36">
      <c r="A199" s="18" t="s">
        <v>772</v>
      </c>
      <c r="B199" s="53" t="s">
        <v>1105</v>
      </c>
      <c r="C199" s="54" t="s">
        <v>1338</v>
      </c>
      <c r="D199" s="54" t="s">
        <v>1154</v>
      </c>
      <c r="E199" s="54" t="s">
        <v>608</v>
      </c>
      <c r="F199" s="54" t="s">
        <v>244</v>
      </c>
      <c r="G199" s="20">
        <f>9496+500+3365</f>
        <v>13361</v>
      </c>
    </row>
    <row r="200" spans="1:7" ht="51.75" customHeight="1">
      <c r="A200" s="18" t="s">
        <v>857</v>
      </c>
      <c r="B200" s="53" t="s">
        <v>1105</v>
      </c>
      <c r="C200" s="54" t="s">
        <v>1338</v>
      </c>
      <c r="D200" s="54" t="s">
        <v>1154</v>
      </c>
      <c r="E200" s="54" t="s">
        <v>608</v>
      </c>
      <c r="F200" s="54" t="s">
        <v>244</v>
      </c>
      <c r="G200" s="20">
        <v>403</v>
      </c>
    </row>
    <row r="201" spans="1:7" ht="28.5" customHeight="1">
      <c r="A201" s="18" t="s">
        <v>520</v>
      </c>
      <c r="B201" s="53" t="s">
        <v>1105</v>
      </c>
      <c r="C201" s="54" t="s">
        <v>1338</v>
      </c>
      <c r="D201" s="54" t="s">
        <v>1154</v>
      </c>
      <c r="E201" s="54" t="s">
        <v>608</v>
      </c>
      <c r="F201" s="54" t="s">
        <v>244</v>
      </c>
      <c r="G201" s="20">
        <v>3050</v>
      </c>
    </row>
    <row r="202" spans="1:7" ht="22.5" customHeight="1">
      <c r="A202" s="18" t="s">
        <v>427</v>
      </c>
      <c r="B202" s="53" t="s">
        <v>1105</v>
      </c>
      <c r="C202" s="54" t="s">
        <v>1338</v>
      </c>
      <c r="D202" s="54" t="s">
        <v>1154</v>
      </c>
      <c r="E202" s="54" t="s">
        <v>608</v>
      </c>
      <c r="F202" s="54" t="s">
        <v>244</v>
      </c>
      <c r="G202" s="20">
        <v>162</v>
      </c>
    </row>
    <row r="203" spans="1:7" ht="22.5" customHeight="1">
      <c r="A203" s="18" t="s">
        <v>428</v>
      </c>
      <c r="B203" s="53" t="s">
        <v>1105</v>
      </c>
      <c r="C203" s="54" t="s">
        <v>1338</v>
      </c>
      <c r="D203" s="54" t="s">
        <v>1154</v>
      </c>
      <c r="E203" s="54" t="s">
        <v>608</v>
      </c>
      <c r="F203" s="54" t="s">
        <v>244</v>
      </c>
      <c r="G203" s="20">
        <v>2250</v>
      </c>
    </row>
    <row r="204" spans="1:7" ht="22.5" customHeight="1">
      <c r="A204" s="36" t="s">
        <v>459</v>
      </c>
      <c r="B204" s="53" t="s">
        <v>1105</v>
      </c>
      <c r="C204" s="54" t="s">
        <v>1338</v>
      </c>
      <c r="D204" s="54" t="s">
        <v>1154</v>
      </c>
      <c r="E204" s="54" t="s">
        <v>430</v>
      </c>
      <c r="F204" s="54" t="s">
        <v>641</v>
      </c>
      <c r="G204" s="19">
        <f>G205</f>
        <v>2666</v>
      </c>
    </row>
    <row r="205" spans="1:7" ht="22.5" customHeight="1">
      <c r="A205" s="18" t="s">
        <v>521</v>
      </c>
      <c r="B205" s="53" t="s">
        <v>1105</v>
      </c>
      <c r="C205" s="54" t="s">
        <v>1338</v>
      </c>
      <c r="D205" s="54" t="s">
        <v>1154</v>
      </c>
      <c r="E205" s="54" t="s">
        <v>430</v>
      </c>
      <c r="F205" s="54" t="s">
        <v>419</v>
      </c>
      <c r="G205" s="19">
        <f>G206+G207</f>
        <v>2666</v>
      </c>
    </row>
    <row r="206" spans="1:7" ht="22.5" customHeight="1">
      <c r="A206" s="18" t="s">
        <v>431</v>
      </c>
      <c r="B206" s="53" t="s">
        <v>1105</v>
      </c>
      <c r="C206" s="54" t="s">
        <v>1338</v>
      </c>
      <c r="D206" s="54" t="s">
        <v>1154</v>
      </c>
      <c r="E206" s="54" t="s">
        <v>430</v>
      </c>
      <c r="F206" s="54" t="s">
        <v>419</v>
      </c>
      <c r="G206" s="20">
        <v>310</v>
      </c>
    </row>
    <row r="207" spans="1:7" ht="22.5" customHeight="1">
      <c r="A207" s="18" t="s">
        <v>91</v>
      </c>
      <c r="B207" s="53" t="s">
        <v>1105</v>
      </c>
      <c r="C207" s="54" t="s">
        <v>1338</v>
      </c>
      <c r="D207" s="54" t="s">
        <v>1154</v>
      </c>
      <c r="E207" s="54" t="s">
        <v>430</v>
      </c>
      <c r="F207" s="54" t="s">
        <v>419</v>
      </c>
      <c r="G207" s="20">
        <v>2356</v>
      </c>
    </row>
    <row r="208" spans="1:7" ht="46.5" customHeight="1">
      <c r="A208" s="18" t="s">
        <v>609</v>
      </c>
      <c r="B208" s="53" t="s">
        <v>1105</v>
      </c>
      <c r="C208" s="54" t="s">
        <v>1338</v>
      </c>
      <c r="D208" s="54" t="s">
        <v>1154</v>
      </c>
      <c r="E208" s="54" t="s">
        <v>1227</v>
      </c>
      <c r="F208" s="54" t="s">
        <v>1204</v>
      </c>
      <c r="G208" s="19">
        <f>G209</f>
        <v>975</v>
      </c>
    </row>
    <row r="209" spans="1:7" ht="29.25" customHeight="1">
      <c r="A209" s="36" t="s">
        <v>459</v>
      </c>
      <c r="B209" s="53" t="s">
        <v>1105</v>
      </c>
      <c r="C209" s="54" t="s">
        <v>1338</v>
      </c>
      <c r="D209" s="54" t="s">
        <v>1154</v>
      </c>
      <c r="E209" s="54" t="s">
        <v>1227</v>
      </c>
      <c r="F209" s="54" t="s">
        <v>641</v>
      </c>
      <c r="G209" s="19">
        <f>G210+G211</f>
        <v>975</v>
      </c>
    </row>
    <row r="210" spans="1:7" ht="21" customHeight="1">
      <c r="A210" s="18" t="s">
        <v>418</v>
      </c>
      <c r="B210" s="53" t="s">
        <v>1105</v>
      </c>
      <c r="C210" s="54" t="s">
        <v>1338</v>
      </c>
      <c r="D210" s="54" t="s">
        <v>1154</v>
      </c>
      <c r="E210" s="54" t="s">
        <v>1227</v>
      </c>
      <c r="F210" s="54" t="s">
        <v>419</v>
      </c>
      <c r="G210" s="20">
        <f>100+75</f>
        <v>175</v>
      </c>
    </row>
    <row r="211" spans="1:7" ht="24" customHeight="1">
      <c r="A211" s="18" t="s">
        <v>515</v>
      </c>
      <c r="B211" s="53" t="s">
        <v>1105</v>
      </c>
      <c r="C211" s="54" t="s">
        <v>1338</v>
      </c>
      <c r="D211" s="54" t="s">
        <v>1154</v>
      </c>
      <c r="E211" s="54" t="s">
        <v>1227</v>
      </c>
      <c r="F211" s="54" t="s">
        <v>244</v>
      </c>
      <c r="G211" s="20">
        <v>800</v>
      </c>
    </row>
    <row r="212" spans="1:7" ht="24" customHeight="1">
      <c r="A212" s="31" t="s">
        <v>397</v>
      </c>
      <c r="B212" s="53" t="s">
        <v>1105</v>
      </c>
      <c r="C212" s="17" t="s">
        <v>1338</v>
      </c>
      <c r="D212" s="17" t="s">
        <v>1336</v>
      </c>
      <c r="E212" s="54"/>
      <c r="F212" s="54"/>
      <c r="G212" s="19">
        <f>G213</f>
        <v>300</v>
      </c>
    </row>
    <row r="213" spans="1:7" ht="24" customHeight="1">
      <c r="A213" s="33" t="s">
        <v>1375</v>
      </c>
      <c r="B213" s="53" t="s">
        <v>1105</v>
      </c>
      <c r="C213" s="17" t="s">
        <v>1338</v>
      </c>
      <c r="D213" s="17" t="s">
        <v>1336</v>
      </c>
      <c r="E213" s="54" t="s">
        <v>1376</v>
      </c>
      <c r="F213" s="54"/>
      <c r="G213" s="19">
        <f>G214</f>
        <v>300</v>
      </c>
    </row>
    <row r="214" spans="1:7" ht="24">
      <c r="A214" s="18" t="s">
        <v>906</v>
      </c>
      <c r="B214" s="53" t="s">
        <v>1105</v>
      </c>
      <c r="C214" s="17" t="s">
        <v>1338</v>
      </c>
      <c r="D214" s="17" t="s">
        <v>1336</v>
      </c>
      <c r="E214" s="54" t="s">
        <v>1231</v>
      </c>
      <c r="F214" s="54"/>
      <c r="G214" s="19">
        <f>G215+G217</f>
        <v>300</v>
      </c>
    </row>
    <row r="215" spans="1:7" ht="48">
      <c r="A215" s="158" t="s">
        <v>485</v>
      </c>
      <c r="B215" s="53" t="s">
        <v>1105</v>
      </c>
      <c r="C215" s="17" t="s">
        <v>1338</v>
      </c>
      <c r="D215" s="17" t="s">
        <v>1336</v>
      </c>
      <c r="E215" s="54" t="s">
        <v>838</v>
      </c>
      <c r="F215" s="54" t="s">
        <v>21</v>
      </c>
      <c r="G215" s="19">
        <f>G216</f>
        <v>5</v>
      </c>
    </row>
    <row r="216" spans="1:7" ht="24">
      <c r="A216" s="18" t="s">
        <v>34</v>
      </c>
      <c r="B216" s="53" t="s">
        <v>1105</v>
      </c>
      <c r="C216" s="17" t="s">
        <v>1338</v>
      </c>
      <c r="D216" s="17" t="s">
        <v>1336</v>
      </c>
      <c r="E216" s="54" t="s">
        <v>838</v>
      </c>
      <c r="F216" s="54" t="s">
        <v>416</v>
      </c>
      <c r="G216" s="20">
        <v>5</v>
      </c>
    </row>
    <row r="217" spans="1:7" ht="24">
      <c r="A217" s="18" t="s">
        <v>31</v>
      </c>
      <c r="B217" s="53" t="s">
        <v>1105</v>
      </c>
      <c r="C217" s="17" t="s">
        <v>1338</v>
      </c>
      <c r="D217" s="17" t="s">
        <v>1336</v>
      </c>
      <c r="E217" s="54" t="s">
        <v>838</v>
      </c>
      <c r="F217" s="54" t="s">
        <v>402</v>
      </c>
      <c r="G217" s="19">
        <f>G218</f>
        <v>295</v>
      </c>
    </row>
    <row r="218" spans="1:7" ht="24">
      <c r="A218" s="36" t="s">
        <v>545</v>
      </c>
      <c r="B218" s="53" t="s">
        <v>1105</v>
      </c>
      <c r="C218" s="17" t="s">
        <v>1338</v>
      </c>
      <c r="D218" s="17" t="s">
        <v>1336</v>
      </c>
      <c r="E218" s="54" t="s">
        <v>838</v>
      </c>
      <c r="F218" s="54" t="s">
        <v>1333</v>
      </c>
      <c r="G218" s="20">
        <f>300-5</f>
        <v>295</v>
      </c>
    </row>
    <row r="219" spans="1:7" ht="15" hidden="1">
      <c r="A219" s="158" t="s">
        <v>233</v>
      </c>
      <c r="B219" s="53" t="s">
        <v>1105</v>
      </c>
      <c r="C219" s="17" t="s">
        <v>1338</v>
      </c>
      <c r="D219" s="17" t="s">
        <v>1336</v>
      </c>
      <c r="E219" s="54" t="s">
        <v>838</v>
      </c>
      <c r="F219" s="54" t="s">
        <v>234</v>
      </c>
      <c r="G219" s="20">
        <v>300</v>
      </c>
    </row>
    <row r="220" spans="1:7" ht="15">
      <c r="A220" s="31" t="s">
        <v>1356</v>
      </c>
      <c r="B220" s="53" t="s">
        <v>1105</v>
      </c>
      <c r="C220" s="17" t="s">
        <v>1338</v>
      </c>
      <c r="D220" s="17" t="s">
        <v>1338</v>
      </c>
      <c r="E220" s="17"/>
      <c r="F220" s="17"/>
      <c r="G220" s="19">
        <f>G221</f>
        <v>24950.6</v>
      </c>
    </row>
    <row r="221" spans="1:7" ht="48">
      <c r="A221" s="29" t="s">
        <v>116</v>
      </c>
      <c r="B221" s="53" t="s">
        <v>1105</v>
      </c>
      <c r="C221" s="17" t="s">
        <v>1338</v>
      </c>
      <c r="D221" s="17" t="s">
        <v>1338</v>
      </c>
      <c r="E221" s="17" t="s">
        <v>599</v>
      </c>
      <c r="F221" s="17"/>
      <c r="G221" s="19">
        <f>G222+G226+G229+G230+G234</f>
        <v>24950.6</v>
      </c>
    </row>
    <row r="222" spans="1:7" ht="60">
      <c r="A222" s="29" t="s">
        <v>968</v>
      </c>
      <c r="B222" s="53" t="s">
        <v>1105</v>
      </c>
      <c r="C222" s="17" t="s">
        <v>1338</v>
      </c>
      <c r="D222" s="17" t="s">
        <v>1338</v>
      </c>
      <c r="E222" s="17" t="s">
        <v>1245</v>
      </c>
      <c r="F222" s="17" t="s">
        <v>1204</v>
      </c>
      <c r="G222" s="19">
        <f>G223</f>
        <v>7785</v>
      </c>
    </row>
    <row r="223" spans="1:7" ht="24">
      <c r="A223" s="36" t="s">
        <v>459</v>
      </c>
      <c r="B223" s="53" t="s">
        <v>1105</v>
      </c>
      <c r="C223" s="17" t="s">
        <v>1338</v>
      </c>
      <c r="D223" s="17" t="s">
        <v>1338</v>
      </c>
      <c r="E223" s="17" t="s">
        <v>1245</v>
      </c>
      <c r="F223" s="17" t="s">
        <v>641</v>
      </c>
      <c r="G223" s="19">
        <f>G224+G225</f>
        <v>7785</v>
      </c>
    </row>
    <row r="224" spans="1:7" ht="24">
      <c r="A224" s="18" t="s">
        <v>418</v>
      </c>
      <c r="B224" s="53" t="s">
        <v>1105</v>
      </c>
      <c r="C224" s="17" t="s">
        <v>1338</v>
      </c>
      <c r="D224" s="17" t="s">
        <v>1338</v>
      </c>
      <c r="E224" s="17" t="s">
        <v>1245</v>
      </c>
      <c r="F224" s="17" t="s">
        <v>419</v>
      </c>
      <c r="G224" s="20">
        <f>2665-1049.9-0.1</f>
        <v>1615</v>
      </c>
    </row>
    <row r="225" spans="1:7" ht="24">
      <c r="A225" s="18" t="s">
        <v>515</v>
      </c>
      <c r="B225" s="53" t="s">
        <v>1105</v>
      </c>
      <c r="C225" s="17" t="s">
        <v>1338</v>
      </c>
      <c r="D225" s="17" t="s">
        <v>1338</v>
      </c>
      <c r="E225" s="17" t="s">
        <v>1245</v>
      </c>
      <c r="F225" s="17" t="s">
        <v>244</v>
      </c>
      <c r="G225" s="20">
        <f>5120+1049.9+0.1</f>
        <v>6170</v>
      </c>
    </row>
    <row r="226" spans="1:7" ht="24.75" customHeight="1" hidden="1">
      <c r="A226" s="18" t="s">
        <v>31</v>
      </c>
      <c r="B226" s="53" t="s">
        <v>1105</v>
      </c>
      <c r="C226" s="17" t="s">
        <v>1338</v>
      </c>
      <c r="D226" s="17" t="s">
        <v>1338</v>
      </c>
      <c r="E226" s="17" t="s">
        <v>907</v>
      </c>
      <c r="F226" s="17" t="s">
        <v>402</v>
      </c>
      <c r="G226" s="19">
        <f>G227</f>
        <v>0</v>
      </c>
    </row>
    <row r="227" spans="1:7" ht="24.75" customHeight="1" hidden="1">
      <c r="A227" s="36" t="s">
        <v>545</v>
      </c>
      <c r="B227" s="53" t="s">
        <v>1105</v>
      </c>
      <c r="C227" s="17" t="s">
        <v>1338</v>
      </c>
      <c r="D227" s="17" t="s">
        <v>1338</v>
      </c>
      <c r="E227" s="17" t="s">
        <v>907</v>
      </c>
      <c r="F227" s="17" t="s">
        <v>1333</v>
      </c>
      <c r="G227" s="20">
        <f>70-70</f>
        <v>0</v>
      </c>
    </row>
    <row r="228" spans="1:7" ht="24.75" customHeight="1">
      <c r="A228" s="158" t="s">
        <v>405</v>
      </c>
      <c r="B228" s="53" t="s">
        <v>1105</v>
      </c>
      <c r="C228" s="17" t="s">
        <v>1338</v>
      </c>
      <c r="D228" s="17" t="s">
        <v>1338</v>
      </c>
      <c r="E228" s="17" t="s">
        <v>907</v>
      </c>
      <c r="F228" s="17" t="s">
        <v>406</v>
      </c>
      <c r="G228" s="19">
        <f>G229</f>
        <v>1314.5</v>
      </c>
    </row>
    <row r="229" spans="1:7" ht="26.25" customHeight="1">
      <c r="A229" s="18" t="s">
        <v>546</v>
      </c>
      <c r="B229" s="53" t="s">
        <v>1105</v>
      </c>
      <c r="C229" s="17" t="s">
        <v>1338</v>
      </c>
      <c r="D229" s="17" t="s">
        <v>1338</v>
      </c>
      <c r="E229" s="17" t="s">
        <v>907</v>
      </c>
      <c r="F229" s="17" t="s">
        <v>1015</v>
      </c>
      <c r="G229" s="20">
        <f>2895-507-800-273.5</f>
        <v>1314.5</v>
      </c>
    </row>
    <row r="230" spans="1:7" ht="26.25" customHeight="1">
      <c r="A230" s="36" t="s">
        <v>459</v>
      </c>
      <c r="B230" s="53" t="s">
        <v>1105</v>
      </c>
      <c r="C230" s="17" t="s">
        <v>1338</v>
      </c>
      <c r="D230" s="17" t="s">
        <v>1338</v>
      </c>
      <c r="E230" s="17" t="s">
        <v>907</v>
      </c>
      <c r="F230" s="17" t="s">
        <v>641</v>
      </c>
      <c r="G230" s="19">
        <f>G231</f>
        <v>5799.6</v>
      </c>
    </row>
    <row r="231" spans="1:7" ht="17.25" customHeight="1">
      <c r="A231" s="18" t="s">
        <v>390</v>
      </c>
      <c r="B231" s="53" t="s">
        <v>1105</v>
      </c>
      <c r="C231" s="17" t="s">
        <v>1338</v>
      </c>
      <c r="D231" s="17" t="s">
        <v>1338</v>
      </c>
      <c r="E231" s="17" t="s">
        <v>907</v>
      </c>
      <c r="F231" s="17" t="s">
        <v>419</v>
      </c>
      <c r="G231" s="19">
        <f>G232</f>
        <v>5799.6</v>
      </c>
    </row>
    <row r="232" spans="1:7" ht="19.5" customHeight="1">
      <c r="A232" s="18" t="s">
        <v>1385</v>
      </c>
      <c r="B232" s="53" t="s">
        <v>1105</v>
      </c>
      <c r="C232" s="17" t="s">
        <v>1338</v>
      </c>
      <c r="D232" s="17" t="s">
        <v>1338</v>
      </c>
      <c r="E232" s="17" t="s">
        <v>907</v>
      </c>
      <c r="F232" s="17" t="s">
        <v>419</v>
      </c>
      <c r="G232" s="19">
        <f>G233</f>
        <v>5799.6</v>
      </c>
    </row>
    <row r="233" spans="1:7" ht="24" customHeight="1">
      <c r="A233" s="18" t="s">
        <v>1453</v>
      </c>
      <c r="B233" s="53" t="s">
        <v>1105</v>
      </c>
      <c r="C233" s="17" t="s">
        <v>1338</v>
      </c>
      <c r="D233" s="17" t="s">
        <v>1338</v>
      </c>
      <c r="E233" s="17" t="s">
        <v>907</v>
      </c>
      <c r="F233" s="17" t="s">
        <v>419</v>
      </c>
      <c r="G233" s="20">
        <f>18500-200.1-534.4-400-120.5-12595+2200-383-667.4</f>
        <v>5799.6</v>
      </c>
    </row>
    <row r="234" spans="1:7" ht="23.25" customHeight="1">
      <c r="A234" s="18" t="s">
        <v>883</v>
      </c>
      <c r="B234" s="53" t="s">
        <v>1105</v>
      </c>
      <c r="C234" s="17" t="s">
        <v>1338</v>
      </c>
      <c r="D234" s="17" t="s">
        <v>1338</v>
      </c>
      <c r="E234" s="17" t="s">
        <v>907</v>
      </c>
      <c r="F234" s="17" t="s">
        <v>244</v>
      </c>
      <c r="G234" s="19">
        <f>G235</f>
        <v>10051.5</v>
      </c>
    </row>
    <row r="235" spans="1:7" ht="19.5" customHeight="1">
      <c r="A235" s="18" t="s">
        <v>1066</v>
      </c>
      <c r="B235" s="53" t="s">
        <v>1105</v>
      </c>
      <c r="C235" s="17" t="s">
        <v>1338</v>
      </c>
      <c r="D235" s="17" t="s">
        <v>1338</v>
      </c>
      <c r="E235" s="17" t="s">
        <v>907</v>
      </c>
      <c r="F235" s="17" t="s">
        <v>244</v>
      </c>
      <c r="G235" s="19">
        <f>G236</f>
        <v>10051.5</v>
      </c>
    </row>
    <row r="236" spans="1:7" ht="24">
      <c r="A236" s="18" t="s">
        <v>37</v>
      </c>
      <c r="B236" s="53" t="s">
        <v>1105</v>
      </c>
      <c r="C236" s="17" t="s">
        <v>1338</v>
      </c>
      <c r="D236" s="17" t="s">
        <v>1338</v>
      </c>
      <c r="E236" s="17" t="s">
        <v>907</v>
      </c>
      <c r="F236" s="17" t="s">
        <v>244</v>
      </c>
      <c r="G236" s="20">
        <f>9630-2200-79.4+960+667.4+800+273.5</f>
        <v>10051.5</v>
      </c>
    </row>
    <row r="237" spans="1:7" ht="24" hidden="1">
      <c r="A237" s="18" t="s">
        <v>1113</v>
      </c>
      <c r="B237" s="53" t="s">
        <v>1105</v>
      </c>
      <c r="C237" s="17" t="s">
        <v>1338</v>
      </c>
      <c r="D237" s="17" t="s">
        <v>1338</v>
      </c>
      <c r="E237" s="17" t="s">
        <v>1077</v>
      </c>
      <c r="F237" s="17" t="s">
        <v>1204</v>
      </c>
      <c r="G237" s="19">
        <f>G238</f>
        <v>0</v>
      </c>
    </row>
    <row r="238" spans="1:7" ht="15" hidden="1">
      <c r="A238" s="18" t="s">
        <v>418</v>
      </c>
      <c r="B238" s="53" t="s">
        <v>1105</v>
      </c>
      <c r="C238" s="17" t="s">
        <v>1338</v>
      </c>
      <c r="D238" s="17" t="s">
        <v>1338</v>
      </c>
      <c r="E238" s="17" t="s">
        <v>1077</v>
      </c>
      <c r="F238" s="17" t="s">
        <v>419</v>
      </c>
      <c r="G238" s="19">
        <f>G239+G240</f>
        <v>0</v>
      </c>
    </row>
    <row r="239" spans="1:7" ht="24" hidden="1">
      <c r="A239" s="18" t="s">
        <v>417</v>
      </c>
      <c r="B239" s="53" t="s">
        <v>1105</v>
      </c>
      <c r="C239" s="17" t="s">
        <v>1338</v>
      </c>
      <c r="D239" s="17" t="s">
        <v>1338</v>
      </c>
      <c r="E239" s="17" t="s">
        <v>1077</v>
      </c>
      <c r="F239" s="17" t="s">
        <v>420</v>
      </c>
      <c r="G239" s="20"/>
    </row>
    <row r="240" spans="1:7" ht="15" hidden="1">
      <c r="A240" s="18" t="s">
        <v>1385</v>
      </c>
      <c r="B240" s="53" t="s">
        <v>1105</v>
      </c>
      <c r="C240" s="17" t="s">
        <v>1338</v>
      </c>
      <c r="D240" s="17" t="s">
        <v>1338</v>
      </c>
      <c r="E240" s="17" t="s">
        <v>1077</v>
      </c>
      <c r="F240" s="17" t="s">
        <v>88</v>
      </c>
      <c r="G240" s="19">
        <f>G241+G242</f>
        <v>0</v>
      </c>
    </row>
    <row r="241" spans="1:7" ht="24" hidden="1">
      <c r="A241" s="18" t="s">
        <v>1170</v>
      </c>
      <c r="B241" s="53" t="s">
        <v>1105</v>
      </c>
      <c r="C241" s="17" t="s">
        <v>1338</v>
      </c>
      <c r="D241" s="17" t="s">
        <v>1338</v>
      </c>
      <c r="E241" s="17" t="s">
        <v>1077</v>
      </c>
      <c r="F241" s="17" t="s">
        <v>88</v>
      </c>
      <c r="G241" s="20"/>
    </row>
    <row r="242" spans="1:7" ht="15" hidden="1">
      <c r="A242" s="18" t="s">
        <v>236</v>
      </c>
      <c r="B242" s="53" t="s">
        <v>1105</v>
      </c>
      <c r="C242" s="17" t="s">
        <v>1338</v>
      </c>
      <c r="D242" s="17" t="s">
        <v>1338</v>
      </c>
      <c r="E242" s="17" t="s">
        <v>1077</v>
      </c>
      <c r="F242" s="17" t="s">
        <v>88</v>
      </c>
      <c r="G242" s="20"/>
    </row>
    <row r="243" spans="1:7" ht="15">
      <c r="A243" s="40" t="s">
        <v>81</v>
      </c>
      <c r="B243" s="53" t="s">
        <v>1105</v>
      </c>
      <c r="C243" s="17" t="s">
        <v>1338</v>
      </c>
      <c r="D243" s="17" t="s">
        <v>1339</v>
      </c>
      <c r="E243" s="17"/>
      <c r="F243" s="17"/>
      <c r="G243" s="19">
        <f>G244</f>
        <v>116784.7</v>
      </c>
    </row>
    <row r="244" spans="1:7" ht="24">
      <c r="A244" s="33" t="s">
        <v>1375</v>
      </c>
      <c r="B244" s="53" t="s">
        <v>1105</v>
      </c>
      <c r="C244" s="17" t="s">
        <v>1338</v>
      </c>
      <c r="D244" s="17" t="s">
        <v>1339</v>
      </c>
      <c r="E244" s="17" t="s">
        <v>1376</v>
      </c>
      <c r="F244" s="17"/>
      <c r="G244" s="19">
        <f>G245+G258</f>
        <v>116784.7</v>
      </c>
    </row>
    <row r="245" spans="1:7" ht="24">
      <c r="A245" s="18" t="s">
        <v>906</v>
      </c>
      <c r="B245" s="53" t="s">
        <v>1105</v>
      </c>
      <c r="C245" s="17" t="s">
        <v>1338</v>
      </c>
      <c r="D245" s="17" t="s">
        <v>1339</v>
      </c>
      <c r="E245" s="17" t="s">
        <v>1231</v>
      </c>
      <c r="F245" s="17"/>
      <c r="G245" s="19">
        <f>G246+G275</f>
        <v>102938.7</v>
      </c>
    </row>
    <row r="246" spans="1:7" ht="36">
      <c r="A246" s="36" t="s">
        <v>1330</v>
      </c>
      <c r="B246" s="53" t="s">
        <v>1105</v>
      </c>
      <c r="C246" s="17" t="s">
        <v>1338</v>
      </c>
      <c r="D246" s="17" t="s">
        <v>1339</v>
      </c>
      <c r="E246" s="17" t="s">
        <v>908</v>
      </c>
      <c r="F246" s="17" t="s">
        <v>1204</v>
      </c>
      <c r="G246" s="19">
        <f>G247</f>
        <v>30071</v>
      </c>
    </row>
    <row r="247" spans="1:7" ht="24">
      <c r="A247" s="18" t="s">
        <v>633</v>
      </c>
      <c r="B247" s="53" t="s">
        <v>1105</v>
      </c>
      <c r="C247" s="17" t="s">
        <v>1338</v>
      </c>
      <c r="D247" s="17" t="s">
        <v>1339</v>
      </c>
      <c r="E247" s="17" t="s">
        <v>908</v>
      </c>
      <c r="F247" s="17" t="s">
        <v>1204</v>
      </c>
      <c r="G247" s="19">
        <f>G248+G251+G255</f>
        <v>30071</v>
      </c>
    </row>
    <row r="248" spans="1:7" ht="36.75" customHeight="1">
      <c r="A248" s="158" t="s">
        <v>485</v>
      </c>
      <c r="B248" s="53" t="s">
        <v>1105</v>
      </c>
      <c r="C248" s="17" t="s">
        <v>1338</v>
      </c>
      <c r="D248" s="17" t="s">
        <v>1339</v>
      </c>
      <c r="E248" s="17" t="s">
        <v>908</v>
      </c>
      <c r="F248" s="17" t="s">
        <v>21</v>
      </c>
      <c r="G248" s="19">
        <f>G249</f>
        <v>26766</v>
      </c>
    </row>
    <row r="249" spans="1:7" ht="24">
      <c r="A249" s="158" t="s">
        <v>34</v>
      </c>
      <c r="B249" s="53" t="s">
        <v>1105</v>
      </c>
      <c r="C249" s="17" t="s">
        <v>1338</v>
      </c>
      <c r="D249" s="17" t="s">
        <v>1339</v>
      </c>
      <c r="E249" s="17" t="s">
        <v>908</v>
      </c>
      <c r="F249" s="17" t="s">
        <v>416</v>
      </c>
      <c r="G249" s="20">
        <v>26766</v>
      </c>
    </row>
    <row r="250" spans="1:7" ht="15" hidden="1">
      <c r="A250" s="158" t="s">
        <v>812</v>
      </c>
      <c r="B250" s="53" t="s">
        <v>1105</v>
      </c>
      <c r="C250" s="17" t="s">
        <v>1338</v>
      </c>
      <c r="D250" s="17" t="s">
        <v>1339</v>
      </c>
      <c r="E250" s="17" t="s">
        <v>908</v>
      </c>
      <c r="F250" s="17" t="s">
        <v>813</v>
      </c>
      <c r="G250" s="20">
        <v>26766</v>
      </c>
    </row>
    <row r="251" spans="1:7" ht="24">
      <c r="A251" s="158" t="s">
        <v>486</v>
      </c>
      <c r="B251" s="53" t="s">
        <v>1105</v>
      </c>
      <c r="C251" s="17" t="s">
        <v>1338</v>
      </c>
      <c r="D251" s="17" t="s">
        <v>1339</v>
      </c>
      <c r="E251" s="17" t="s">
        <v>908</v>
      </c>
      <c r="F251" s="17" t="s">
        <v>402</v>
      </c>
      <c r="G251" s="19">
        <f>G252</f>
        <v>3245</v>
      </c>
    </row>
    <row r="252" spans="1:7" ht="24">
      <c r="A252" s="158" t="s">
        <v>471</v>
      </c>
      <c r="B252" s="53" t="s">
        <v>1105</v>
      </c>
      <c r="C252" s="17" t="s">
        <v>1338</v>
      </c>
      <c r="D252" s="17" t="s">
        <v>1339</v>
      </c>
      <c r="E252" s="17" t="s">
        <v>908</v>
      </c>
      <c r="F252" s="17" t="s">
        <v>1333</v>
      </c>
      <c r="G252" s="20">
        <v>3245</v>
      </c>
    </row>
    <row r="253" spans="1:7" ht="24" hidden="1">
      <c r="A253" s="158" t="s">
        <v>178</v>
      </c>
      <c r="B253" s="53" t="s">
        <v>1105</v>
      </c>
      <c r="C253" s="17" t="s">
        <v>1338</v>
      </c>
      <c r="D253" s="17" t="s">
        <v>1339</v>
      </c>
      <c r="E253" s="17" t="s">
        <v>908</v>
      </c>
      <c r="F253" s="17" t="s">
        <v>516</v>
      </c>
      <c r="G253" s="20">
        <v>500</v>
      </c>
    </row>
    <row r="254" spans="1:7" ht="15" hidden="1">
      <c r="A254" s="158" t="s">
        <v>233</v>
      </c>
      <c r="B254" s="53" t="s">
        <v>1105</v>
      </c>
      <c r="C254" s="17" t="s">
        <v>1338</v>
      </c>
      <c r="D254" s="17" t="s">
        <v>1339</v>
      </c>
      <c r="E254" s="17" t="s">
        <v>908</v>
      </c>
      <c r="F254" s="17" t="s">
        <v>234</v>
      </c>
      <c r="G254" s="20">
        <v>2745</v>
      </c>
    </row>
    <row r="255" spans="1:7" ht="24">
      <c r="A255" s="158" t="s">
        <v>1189</v>
      </c>
      <c r="B255" s="53" t="s">
        <v>1105</v>
      </c>
      <c r="C255" s="17" t="s">
        <v>1338</v>
      </c>
      <c r="D255" s="17" t="s">
        <v>1339</v>
      </c>
      <c r="E255" s="17" t="s">
        <v>908</v>
      </c>
      <c r="F255" s="17" t="s">
        <v>1190</v>
      </c>
      <c r="G255" s="19">
        <f>G256</f>
        <v>60</v>
      </c>
    </row>
    <row r="256" spans="1:7" ht="24">
      <c r="A256" s="158" t="s">
        <v>1059</v>
      </c>
      <c r="B256" s="53" t="s">
        <v>1105</v>
      </c>
      <c r="C256" s="17" t="s">
        <v>1338</v>
      </c>
      <c r="D256" s="17" t="s">
        <v>1339</v>
      </c>
      <c r="E256" s="17" t="s">
        <v>908</v>
      </c>
      <c r="F256" s="17" t="s">
        <v>1060</v>
      </c>
      <c r="G256" s="20">
        <v>60</v>
      </c>
    </row>
    <row r="257" spans="1:7" ht="15" hidden="1">
      <c r="A257" s="159" t="s">
        <v>819</v>
      </c>
      <c r="B257" s="53" t="s">
        <v>1105</v>
      </c>
      <c r="C257" s="17" t="s">
        <v>1338</v>
      </c>
      <c r="D257" s="17" t="s">
        <v>1339</v>
      </c>
      <c r="E257" s="17" t="s">
        <v>908</v>
      </c>
      <c r="F257" s="17" t="s">
        <v>543</v>
      </c>
      <c r="G257" s="20">
        <v>60</v>
      </c>
    </row>
    <row r="258" spans="1:7" ht="24">
      <c r="A258" s="173" t="s">
        <v>831</v>
      </c>
      <c r="B258" s="53" t="s">
        <v>1105</v>
      </c>
      <c r="C258" s="54" t="s">
        <v>1338</v>
      </c>
      <c r="D258" s="54" t="s">
        <v>1339</v>
      </c>
      <c r="E258" s="54" t="s">
        <v>1383</v>
      </c>
      <c r="F258" s="54"/>
      <c r="G258" s="19">
        <f>G259+G262+G265+G273</f>
        <v>13846</v>
      </c>
    </row>
    <row r="259" spans="1:7" ht="108" hidden="1">
      <c r="A259" s="178" t="s">
        <v>249</v>
      </c>
      <c r="B259" s="53" t="s">
        <v>1105</v>
      </c>
      <c r="C259" s="54" t="s">
        <v>1338</v>
      </c>
      <c r="D259" s="54" t="s">
        <v>1339</v>
      </c>
      <c r="E259" s="54" t="s">
        <v>250</v>
      </c>
      <c r="F259" s="54" t="s">
        <v>1204</v>
      </c>
      <c r="G259" s="19">
        <f>G260</f>
        <v>0</v>
      </c>
    </row>
    <row r="260" spans="1:7" ht="24" hidden="1">
      <c r="A260" s="36" t="s">
        <v>459</v>
      </c>
      <c r="B260" s="53" t="s">
        <v>1105</v>
      </c>
      <c r="C260" s="54" t="s">
        <v>1338</v>
      </c>
      <c r="D260" s="54" t="s">
        <v>1339</v>
      </c>
      <c r="E260" s="54" t="s">
        <v>250</v>
      </c>
      <c r="F260" s="54" t="s">
        <v>641</v>
      </c>
      <c r="G260" s="19">
        <f>G261</f>
        <v>0</v>
      </c>
    </row>
    <row r="261" spans="1:7" ht="24" hidden="1">
      <c r="A261" s="179" t="s">
        <v>825</v>
      </c>
      <c r="B261" s="53" t="s">
        <v>1105</v>
      </c>
      <c r="C261" s="54" t="s">
        <v>1338</v>
      </c>
      <c r="D261" s="54" t="s">
        <v>1339</v>
      </c>
      <c r="E261" s="54" t="s">
        <v>250</v>
      </c>
      <c r="F261" s="54" t="s">
        <v>1078</v>
      </c>
      <c r="G261" s="20"/>
    </row>
    <row r="262" spans="1:7" ht="15" hidden="1">
      <c r="A262" s="179"/>
      <c r="B262" s="53" t="s">
        <v>1105</v>
      </c>
      <c r="C262" s="54" t="s">
        <v>1338</v>
      </c>
      <c r="D262" s="54" t="s">
        <v>1339</v>
      </c>
      <c r="E262" s="54" t="s">
        <v>1387</v>
      </c>
      <c r="F262" s="54" t="s">
        <v>1204</v>
      </c>
      <c r="G262" s="19">
        <f>G263</f>
        <v>0</v>
      </c>
    </row>
    <row r="263" spans="1:7" ht="24" hidden="1">
      <c r="A263" s="36" t="s">
        <v>459</v>
      </c>
      <c r="B263" s="53" t="s">
        <v>1105</v>
      </c>
      <c r="C263" s="54" t="s">
        <v>1338</v>
      </c>
      <c r="D263" s="54" t="s">
        <v>1339</v>
      </c>
      <c r="E263" s="54" t="s">
        <v>1387</v>
      </c>
      <c r="F263" s="54" t="s">
        <v>641</v>
      </c>
      <c r="G263" s="19">
        <f>G264</f>
        <v>0</v>
      </c>
    </row>
    <row r="264" spans="1:7" ht="60" hidden="1">
      <c r="A264" s="180" t="s">
        <v>251</v>
      </c>
      <c r="B264" s="53" t="s">
        <v>1105</v>
      </c>
      <c r="C264" s="54" t="s">
        <v>1338</v>
      </c>
      <c r="D264" s="54" t="s">
        <v>1339</v>
      </c>
      <c r="E264" s="54" t="s">
        <v>1387</v>
      </c>
      <c r="F264" s="54" t="s">
        <v>1078</v>
      </c>
      <c r="G264" s="20"/>
    </row>
    <row r="265" spans="1:7" ht="132">
      <c r="A265" s="179" t="s">
        <v>1230</v>
      </c>
      <c r="B265" s="53" t="s">
        <v>1105</v>
      </c>
      <c r="C265" s="54" t="s">
        <v>1338</v>
      </c>
      <c r="D265" s="54" t="s">
        <v>1339</v>
      </c>
      <c r="E265" s="54" t="s">
        <v>1384</v>
      </c>
      <c r="F265" s="54" t="s">
        <v>1204</v>
      </c>
      <c r="G265" s="19">
        <f>G270</f>
        <v>3657</v>
      </c>
    </row>
    <row r="266" spans="1:7" ht="15" hidden="1">
      <c r="A266" s="18" t="s">
        <v>418</v>
      </c>
      <c r="B266" s="53" t="s">
        <v>1105</v>
      </c>
      <c r="C266" s="54" t="s">
        <v>1338</v>
      </c>
      <c r="D266" s="54" t="s">
        <v>1339</v>
      </c>
      <c r="E266" s="54" t="s">
        <v>199</v>
      </c>
      <c r="F266" s="54" t="s">
        <v>419</v>
      </c>
      <c r="G266" s="19">
        <f>G267+G268</f>
        <v>0</v>
      </c>
    </row>
    <row r="267" spans="1:7" ht="24" hidden="1">
      <c r="A267" s="18" t="s">
        <v>417</v>
      </c>
      <c r="B267" s="53" t="s">
        <v>1105</v>
      </c>
      <c r="C267" s="54" t="s">
        <v>1338</v>
      </c>
      <c r="D267" s="54" t="s">
        <v>1339</v>
      </c>
      <c r="E267" s="54" t="s">
        <v>199</v>
      </c>
      <c r="F267" s="54" t="s">
        <v>420</v>
      </c>
      <c r="G267" s="20"/>
    </row>
    <row r="268" spans="1:7" ht="15" hidden="1">
      <c r="A268" s="18" t="s">
        <v>235</v>
      </c>
      <c r="B268" s="53" t="s">
        <v>1105</v>
      </c>
      <c r="C268" s="54" t="s">
        <v>1338</v>
      </c>
      <c r="D268" s="54" t="s">
        <v>1339</v>
      </c>
      <c r="E268" s="54" t="s">
        <v>199</v>
      </c>
      <c r="F268" s="54" t="s">
        <v>88</v>
      </c>
      <c r="G268" s="19">
        <f>G269</f>
        <v>0</v>
      </c>
    </row>
    <row r="269" spans="1:7" ht="15" hidden="1">
      <c r="A269" s="18" t="s">
        <v>193</v>
      </c>
      <c r="B269" s="53" t="s">
        <v>1105</v>
      </c>
      <c r="C269" s="54" t="s">
        <v>1338</v>
      </c>
      <c r="D269" s="54" t="s">
        <v>1339</v>
      </c>
      <c r="E269" s="54" t="s">
        <v>199</v>
      </c>
      <c r="F269" s="54" t="s">
        <v>88</v>
      </c>
      <c r="G269" s="20"/>
    </row>
    <row r="270" spans="1:7" ht="24">
      <c r="A270" s="36" t="s">
        <v>459</v>
      </c>
      <c r="B270" s="53" t="s">
        <v>1105</v>
      </c>
      <c r="C270" s="54" t="s">
        <v>1338</v>
      </c>
      <c r="D270" s="54" t="s">
        <v>1339</v>
      </c>
      <c r="E270" s="54" t="s">
        <v>1384</v>
      </c>
      <c r="F270" s="54" t="s">
        <v>641</v>
      </c>
      <c r="G270" s="19">
        <f>G271</f>
        <v>3657</v>
      </c>
    </row>
    <row r="271" spans="1:7" ht="24">
      <c r="A271" s="18" t="s">
        <v>515</v>
      </c>
      <c r="B271" s="53" t="s">
        <v>1105</v>
      </c>
      <c r="C271" s="54" t="s">
        <v>1338</v>
      </c>
      <c r="D271" s="54" t="s">
        <v>1339</v>
      </c>
      <c r="E271" s="54" t="s">
        <v>1384</v>
      </c>
      <c r="F271" s="54" t="s">
        <v>244</v>
      </c>
      <c r="G271" s="20">
        <v>3657</v>
      </c>
    </row>
    <row r="272" spans="1:7" ht="24" hidden="1">
      <c r="A272" s="18" t="s">
        <v>1457</v>
      </c>
      <c r="B272" s="53" t="s">
        <v>1105</v>
      </c>
      <c r="C272" s="54" t="s">
        <v>1338</v>
      </c>
      <c r="D272" s="54" t="s">
        <v>1339</v>
      </c>
      <c r="E272" s="54" t="s">
        <v>1384</v>
      </c>
      <c r="F272" s="54" t="s">
        <v>245</v>
      </c>
      <c r="G272" s="20"/>
    </row>
    <row r="273" spans="1:7" ht="24">
      <c r="A273" s="36" t="s">
        <v>459</v>
      </c>
      <c r="B273" s="53" t="s">
        <v>1105</v>
      </c>
      <c r="C273" s="54" t="s">
        <v>1338</v>
      </c>
      <c r="D273" s="54" t="s">
        <v>1339</v>
      </c>
      <c r="E273" s="54" t="s">
        <v>597</v>
      </c>
      <c r="F273" s="54" t="s">
        <v>641</v>
      </c>
      <c r="G273" s="19">
        <f>G274</f>
        <v>10189</v>
      </c>
    </row>
    <row r="274" spans="1:7" ht="24">
      <c r="A274" s="18" t="s">
        <v>515</v>
      </c>
      <c r="B274" s="53" t="s">
        <v>1105</v>
      </c>
      <c r="C274" s="54" t="s">
        <v>1338</v>
      </c>
      <c r="D274" s="54" t="s">
        <v>1339</v>
      </c>
      <c r="E274" s="54" t="s">
        <v>597</v>
      </c>
      <c r="F274" s="54" t="s">
        <v>244</v>
      </c>
      <c r="G274" s="20">
        <v>10189</v>
      </c>
    </row>
    <row r="275" spans="1:7" ht="24">
      <c r="A275" s="18" t="s">
        <v>906</v>
      </c>
      <c r="B275" s="53" t="s">
        <v>1105</v>
      </c>
      <c r="C275" s="54" t="s">
        <v>1338</v>
      </c>
      <c r="D275" s="54" t="s">
        <v>1339</v>
      </c>
      <c r="E275" s="54" t="s">
        <v>1231</v>
      </c>
      <c r="F275" s="54"/>
      <c r="G275" s="19">
        <f>G276+G280+G285</f>
        <v>72867.7</v>
      </c>
    </row>
    <row r="276" spans="1:7" ht="60">
      <c r="A276" s="64" t="s">
        <v>1048</v>
      </c>
      <c r="B276" s="53" t="s">
        <v>1105</v>
      </c>
      <c r="C276" s="54" t="s">
        <v>1338</v>
      </c>
      <c r="D276" s="54" t="s">
        <v>1339</v>
      </c>
      <c r="E276" s="54" t="s">
        <v>1232</v>
      </c>
      <c r="F276" s="54" t="s">
        <v>1204</v>
      </c>
      <c r="G276" s="19">
        <f>G277</f>
        <v>1607</v>
      </c>
    </row>
    <row r="277" spans="1:7" ht="24">
      <c r="A277" s="36" t="s">
        <v>459</v>
      </c>
      <c r="B277" s="53" t="s">
        <v>1105</v>
      </c>
      <c r="C277" s="54" t="s">
        <v>1338</v>
      </c>
      <c r="D277" s="54" t="s">
        <v>1339</v>
      </c>
      <c r="E277" s="54" t="s">
        <v>1232</v>
      </c>
      <c r="F277" s="54" t="s">
        <v>641</v>
      </c>
      <c r="G277" s="19">
        <f>G278</f>
        <v>1607</v>
      </c>
    </row>
    <row r="278" spans="1:7" ht="24">
      <c r="A278" s="18" t="s">
        <v>418</v>
      </c>
      <c r="B278" s="53" t="s">
        <v>1105</v>
      </c>
      <c r="C278" s="54" t="s">
        <v>1338</v>
      </c>
      <c r="D278" s="54" t="s">
        <v>1339</v>
      </c>
      <c r="E278" s="54" t="s">
        <v>1232</v>
      </c>
      <c r="F278" s="54" t="s">
        <v>419</v>
      </c>
      <c r="G278" s="20">
        <f>1704-97</f>
        <v>1607</v>
      </c>
    </row>
    <row r="279" spans="1:7" ht="24" hidden="1">
      <c r="A279" s="18" t="s">
        <v>417</v>
      </c>
      <c r="B279" s="53" t="s">
        <v>1105</v>
      </c>
      <c r="C279" s="54" t="s">
        <v>1338</v>
      </c>
      <c r="D279" s="54" t="s">
        <v>1339</v>
      </c>
      <c r="E279" s="54" t="s">
        <v>1232</v>
      </c>
      <c r="F279" s="54" t="s">
        <v>420</v>
      </c>
      <c r="G279" s="20">
        <v>1704</v>
      </c>
    </row>
    <row r="280" spans="1:7" ht="24">
      <c r="A280" s="18" t="s">
        <v>1049</v>
      </c>
      <c r="B280" s="53" t="s">
        <v>1105</v>
      </c>
      <c r="C280" s="54" t="s">
        <v>1338</v>
      </c>
      <c r="D280" s="54" t="s">
        <v>1339</v>
      </c>
      <c r="E280" s="54" t="s">
        <v>1050</v>
      </c>
      <c r="F280" s="54" t="s">
        <v>1204</v>
      </c>
      <c r="G280" s="19">
        <f>G281</f>
        <v>3847</v>
      </c>
    </row>
    <row r="281" spans="1:7" ht="24" customHeight="1">
      <c r="A281" s="158" t="s">
        <v>486</v>
      </c>
      <c r="B281" s="53" t="s">
        <v>1105</v>
      </c>
      <c r="C281" s="54" t="s">
        <v>1338</v>
      </c>
      <c r="D281" s="54" t="s">
        <v>1339</v>
      </c>
      <c r="E281" s="54" t="s">
        <v>1050</v>
      </c>
      <c r="F281" s="54" t="s">
        <v>402</v>
      </c>
      <c r="G281" s="19">
        <f>G282</f>
        <v>3847</v>
      </c>
    </row>
    <row r="282" spans="1:7" ht="24">
      <c r="A282" s="18" t="s">
        <v>401</v>
      </c>
      <c r="B282" s="53" t="s">
        <v>1105</v>
      </c>
      <c r="C282" s="54" t="s">
        <v>1338</v>
      </c>
      <c r="D282" s="54" t="s">
        <v>1339</v>
      </c>
      <c r="E282" s="54" t="s">
        <v>1050</v>
      </c>
      <c r="F282" s="54" t="s">
        <v>1333</v>
      </c>
      <c r="G282" s="20">
        <f>3000+757+90</f>
        <v>3847</v>
      </c>
    </row>
    <row r="283" spans="1:7" ht="15" hidden="1">
      <c r="A283" s="18" t="s">
        <v>418</v>
      </c>
      <c r="B283" s="53" t="s">
        <v>1105</v>
      </c>
      <c r="C283" s="54" t="s">
        <v>1338</v>
      </c>
      <c r="D283" s="54" t="s">
        <v>1339</v>
      </c>
      <c r="E283" s="54" t="s">
        <v>1050</v>
      </c>
      <c r="F283" s="54" t="s">
        <v>234</v>
      </c>
      <c r="G283" s="20">
        <v>3000</v>
      </c>
    </row>
    <row r="284" spans="1:7" ht="24">
      <c r="A284" s="173" t="s">
        <v>831</v>
      </c>
      <c r="B284" s="53" t="s">
        <v>1105</v>
      </c>
      <c r="C284" s="54" t="s">
        <v>1338</v>
      </c>
      <c r="D284" s="54" t="s">
        <v>1339</v>
      </c>
      <c r="E284" s="54" t="s">
        <v>568</v>
      </c>
      <c r="F284" s="54" t="s">
        <v>1204</v>
      </c>
      <c r="G284" s="19">
        <f>G285</f>
        <v>67413.7</v>
      </c>
    </row>
    <row r="285" spans="1:7" ht="24">
      <c r="A285" s="36" t="s">
        <v>459</v>
      </c>
      <c r="B285" s="53" t="s">
        <v>1105</v>
      </c>
      <c r="C285" s="54" t="s">
        <v>1338</v>
      </c>
      <c r="D285" s="54" t="s">
        <v>1339</v>
      </c>
      <c r="E285" s="54" t="s">
        <v>568</v>
      </c>
      <c r="F285" s="54" t="s">
        <v>641</v>
      </c>
      <c r="G285" s="20">
        <f>G286+G290</f>
        <v>67413.7</v>
      </c>
    </row>
    <row r="286" spans="1:7" ht="24">
      <c r="A286" s="18" t="s">
        <v>390</v>
      </c>
      <c r="B286" s="53" t="s">
        <v>1105</v>
      </c>
      <c r="C286" s="54" t="s">
        <v>1338</v>
      </c>
      <c r="D286" s="54" t="s">
        <v>1339</v>
      </c>
      <c r="E286" s="54" t="s">
        <v>568</v>
      </c>
      <c r="F286" s="54" t="s">
        <v>419</v>
      </c>
      <c r="G286" s="20">
        <f>64903+400+610.8-0.1+1500</f>
        <v>67413.7</v>
      </c>
    </row>
    <row r="287" spans="1:7" ht="24" hidden="1">
      <c r="A287" s="18" t="s">
        <v>417</v>
      </c>
      <c r="B287" s="53" t="s">
        <v>1105</v>
      </c>
      <c r="C287" s="54" t="s">
        <v>1338</v>
      </c>
      <c r="D287" s="54" t="s">
        <v>1339</v>
      </c>
      <c r="E287" s="54" t="s">
        <v>568</v>
      </c>
      <c r="F287" s="54" t="s">
        <v>420</v>
      </c>
      <c r="G287" s="20">
        <v>60601</v>
      </c>
    </row>
    <row r="288" spans="1:7" ht="15" hidden="1">
      <c r="A288" s="18" t="s">
        <v>1385</v>
      </c>
      <c r="B288" s="53" t="s">
        <v>1105</v>
      </c>
      <c r="C288" s="54" t="s">
        <v>1338</v>
      </c>
      <c r="D288" s="54" t="s">
        <v>1339</v>
      </c>
      <c r="E288" s="54" t="s">
        <v>568</v>
      </c>
      <c r="F288" s="54" t="s">
        <v>88</v>
      </c>
      <c r="G288" s="19">
        <f>G289</f>
        <v>4382</v>
      </c>
    </row>
    <row r="289" spans="1:7" ht="24">
      <c r="A289" s="18" t="s">
        <v>193</v>
      </c>
      <c r="B289" s="53" t="s">
        <v>1105</v>
      </c>
      <c r="C289" s="54" t="s">
        <v>1338</v>
      </c>
      <c r="D289" s="54" t="s">
        <v>1339</v>
      </c>
      <c r="E289" s="54" t="s">
        <v>568</v>
      </c>
      <c r="F289" s="54" t="s">
        <v>419</v>
      </c>
      <c r="G289" s="20">
        <v>4382</v>
      </c>
    </row>
    <row r="290" spans="1:7" ht="15" hidden="1">
      <c r="A290" s="18" t="s">
        <v>515</v>
      </c>
      <c r="B290" s="53" t="s">
        <v>1105</v>
      </c>
      <c r="C290" s="54" t="s">
        <v>1338</v>
      </c>
      <c r="D290" s="54" t="s">
        <v>1339</v>
      </c>
      <c r="E290" s="54" t="s">
        <v>568</v>
      </c>
      <c r="F290" s="54" t="s">
        <v>244</v>
      </c>
      <c r="G290" s="20">
        <f>10189-10189</f>
        <v>0</v>
      </c>
    </row>
    <row r="291" spans="1:7" ht="24" hidden="1">
      <c r="A291" s="18" t="s">
        <v>1457</v>
      </c>
      <c r="B291" s="53" t="s">
        <v>1105</v>
      </c>
      <c r="C291" s="54" t="s">
        <v>1338</v>
      </c>
      <c r="D291" s="54" t="s">
        <v>1339</v>
      </c>
      <c r="E291" s="54" t="s">
        <v>568</v>
      </c>
      <c r="F291" s="54" t="s">
        <v>245</v>
      </c>
      <c r="G291" s="20">
        <v>10189</v>
      </c>
    </row>
    <row r="292" spans="1:7" ht="24">
      <c r="A292" s="18" t="s">
        <v>714</v>
      </c>
      <c r="B292" s="53" t="s">
        <v>1105</v>
      </c>
      <c r="C292" s="54" t="s">
        <v>1338</v>
      </c>
      <c r="D292" s="54" t="s">
        <v>1339</v>
      </c>
      <c r="E292" s="54" t="s">
        <v>568</v>
      </c>
      <c r="F292" s="54" t="s">
        <v>419</v>
      </c>
      <c r="G292" s="20">
        <v>233</v>
      </c>
    </row>
    <row r="293" spans="1:7" ht="15">
      <c r="A293" s="56" t="s">
        <v>1331</v>
      </c>
      <c r="B293" s="53" t="s">
        <v>1105</v>
      </c>
      <c r="C293" s="17" t="s">
        <v>1337</v>
      </c>
      <c r="D293" s="17"/>
      <c r="E293" s="17"/>
      <c r="F293" s="17"/>
      <c r="G293" s="19">
        <f>G294+G301</f>
        <v>37255</v>
      </c>
    </row>
    <row r="294" spans="1:7" ht="15">
      <c r="A294" s="31" t="s">
        <v>343</v>
      </c>
      <c r="B294" s="53" t="s">
        <v>1105</v>
      </c>
      <c r="C294" s="17" t="s">
        <v>1337</v>
      </c>
      <c r="D294" s="17" t="s">
        <v>1340</v>
      </c>
      <c r="E294" s="17"/>
      <c r="F294" s="17"/>
      <c r="G294" s="19">
        <f>G295</f>
        <v>3000</v>
      </c>
    </row>
    <row r="295" spans="1:7" ht="24">
      <c r="A295" s="33" t="s">
        <v>1375</v>
      </c>
      <c r="B295" s="53" t="s">
        <v>1105</v>
      </c>
      <c r="C295" s="17" t="s">
        <v>1337</v>
      </c>
      <c r="D295" s="17" t="s">
        <v>1340</v>
      </c>
      <c r="E295" s="17" t="s">
        <v>1376</v>
      </c>
      <c r="F295" s="17"/>
      <c r="G295" s="19">
        <f>G296</f>
        <v>3000</v>
      </c>
    </row>
    <row r="296" spans="1:7" ht="24">
      <c r="A296" s="173" t="s">
        <v>831</v>
      </c>
      <c r="B296" s="53" t="s">
        <v>1105</v>
      </c>
      <c r="C296" s="17" t="s">
        <v>1337</v>
      </c>
      <c r="D296" s="17" t="s">
        <v>1340</v>
      </c>
      <c r="E296" s="17" t="s">
        <v>1383</v>
      </c>
      <c r="F296" s="17"/>
      <c r="G296" s="19">
        <f>G297</f>
        <v>3000</v>
      </c>
    </row>
    <row r="297" spans="1:7" ht="108">
      <c r="A297" s="36" t="s">
        <v>1124</v>
      </c>
      <c r="B297" s="53" t="s">
        <v>1105</v>
      </c>
      <c r="C297" s="17" t="s">
        <v>1153</v>
      </c>
      <c r="D297" s="17" t="s">
        <v>1340</v>
      </c>
      <c r="E297" s="17" t="s">
        <v>569</v>
      </c>
      <c r="F297" s="17" t="s">
        <v>1204</v>
      </c>
      <c r="G297" s="19">
        <f>G298</f>
        <v>3000</v>
      </c>
    </row>
    <row r="298" spans="1:7" ht="24">
      <c r="A298" s="158" t="s">
        <v>405</v>
      </c>
      <c r="B298" s="53" t="s">
        <v>1105</v>
      </c>
      <c r="C298" s="17" t="s">
        <v>1153</v>
      </c>
      <c r="D298" s="17" t="s">
        <v>1340</v>
      </c>
      <c r="E298" s="17" t="s">
        <v>569</v>
      </c>
      <c r="F298" s="17" t="s">
        <v>406</v>
      </c>
      <c r="G298" s="19">
        <f>G299</f>
        <v>3000</v>
      </c>
    </row>
    <row r="299" spans="1:7" ht="24">
      <c r="A299" s="36" t="s">
        <v>873</v>
      </c>
      <c r="B299" s="53" t="s">
        <v>1105</v>
      </c>
      <c r="C299" s="17" t="s">
        <v>1153</v>
      </c>
      <c r="D299" s="17" t="s">
        <v>1340</v>
      </c>
      <c r="E299" s="17" t="s">
        <v>569</v>
      </c>
      <c r="F299" s="17" t="s">
        <v>1015</v>
      </c>
      <c r="G299" s="20">
        <v>3000</v>
      </c>
    </row>
    <row r="300" spans="1:7" ht="36" hidden="1">
      <c r="A300" s="18" t="s">
        <v>1110</v>
      </c>
      <c r="B300" s="53" t="s">
        <v>1105</v>
      </c>
      <c r="C300" s="17" t="s">
        <v>1153</v>
      </c>
      <c r="D300" s="17" t="s">
        <v>1340</v>
      </c>
      <c r="E300" s="17" t="s">
        <v>569</v>
      </c>
      <c r="F300" s="17" t="s">
        <v>572</v>
      </c>
      <c r="G300" s="20">
        <v>3000</v>
      </c>
    </row>
    <row r="301" spans="1:7" ht="15">
      <c r="A301" s="78" t="s">
        <v>833</v>
      </c>
      <c r="B301" s="53" t="s">
        <v>1105</v>
      </c>
      <c r="C301" s="17" t="s">
        <v>1337</v>
      </c>
      <c r="D301" s="17" t="s">
        <v>118</v>
      </c>
      <c r="E301" s="17"/>
      <c r="F301" s="17"/>
      <c r="G301" s="19">
        <f>G302</f>
        <v>34255</v>
      </c>
    </row>
    <row r="302" spans="1:7" ht="36">
      <c r="A302" s="18" t="s">
        <v>1377</v>
      </c>
      <c r="B302" s="53" t="s">
        <v>1105</v>
      </c>
      <c r="C302" s="17" t="s">
        <v>1337</v>
      </c>
      <c r="D302" s="17" t="s">
        <v>118</v>
      </c>
      <c r="E302" s="17" t="s">
        <v>443</v>
      </c>
      <c r="F302" s="17" t="s">
        <v>1204</v>
      </c>
      <c r="G302" s="19">
        <f>G303</f>
        <v>34255</v>
      </c>
    </row>
    <row r="303" spans="1:7" ht="60">
      <c r="A303" s="36" t="s">
        <v>444</v>
      </c>
      <c r="B303" s="53" t="s">
        <v>1105</v>
      </c>
      <c r="C303" s="17" t="s">
        <v>1337</v>
      </c>
      <c r="D303" s="17" t="s">
        <v>118</v>
      </c>
      <c r="E303" s="17" t="s">
        <v>443</v>
      </c>
      <c r="F303" s="17" t="s">
        <v>1204</v>
      </c>
      <c r="G303" s="19">
        <f>G304</f>
        <v>34255</v>
      </c>
    </row>
    <row r="304" spans="1:7" ht="24">
      <c r="A304" s="158" t="s">
        <v>405</v>
      </c>
      <c r="B304" s="53" t="s">
        <v>1105</v>
      </c>
      <c r="C304" s="17" t="s">
        <v>1337</v>
      </c>
      <c r="D304" s="17" t="s">
        <v>118</v>
      </c>
      <c r="E304" s="17" t="s">
        <v>443</v>
      </c>
      <c r="F304" s="17" t="s">
        <v>406</v>
      </c>
      <c r="G304" s="19">
        <f>G305</f>
        <v>34255</v>
      </c>
    </row>
    <row r="305" spans="1:7" ht="24" customHeight="1">
      <c r="A305" s="36" t="s">
        <v>873</v>
      </c>
      <c r="B305" s="53" t="s">
        <v>1105</v>
      </c>
      <c r="C305" s="17" t="s">
        <v>1337</v>
      </c>
      <c r="D305" s="17" t="s">
        <v>118</v>
      </c>
      <c r="E305" s="17" t="s">
        <v>443</v>
      </c>
      <c r="F305" s="17" t="s">
        <v>1015</v>
      </c>
      <c r="G305" s="20">
        <f>38788-4027-506</f>
        <v>34255</v>
      </c>
    </row>
    <row r="306" spans="1:7" ht="33.75" customHeight="1" hidden="1">
      <c r="A306" s="18" t="s">
        <v>930</v>
      </c>
      <c r="B306" s="53" t="s">
        <v>1105</v>
      </c>
      <c r="C306" s="17" t="s">
        <v>1337</v>
      </c>
      <c r="D306" s="17" t="s">
        <v>118</v>
      </c>
      <c r="E306" s="17" t="s">
        <v>443</v>
      </c>
      <c r="F306" s="17" t="s">
        <v>572</v>
      </c>
      <c r="G306" s="20">
        <v>38788</v>
      </c>
    </row>
    <row r="307" spans="1:7" ht="19.5" customHeight="1">
      <c r="A307" s="57" t="s">
        <v>10</v>
      </c>
      <c r="B307" s="51" t="s">
        <v>1177</v>
      </c>
      <c r="C307" s="58"/>
      <c r="D307" s="58"/>
      <c r="E307" s="58"/>
      <c r="F307" s="58"/>
      <c r="G307" s="59">
        <f>G308</f>
        <v>270429</v>
      </c>
    </row>
    <row r="308" spans="1:7" ht="15.75">
      <c r="A308" s="56" t="s">
        <v>27</v>
      </c>
      <c r="B308" s="53" t="s">
        <v>1177</v>
      </c>
      <c r="C308" s="27" t="s">
        <v>1339</v>
      </c>
      <c r="D308" s="23"/>
      <c r="E308" s="28"/>
      <c r="F308" s="28"/>
      <c r="G308" s="2">
        <f>G309+G330+G359+G365+G374+G384</f>
        <v>270429</v>
      </c>
    </row>
    <row r="309" spans="1:7" ht="15">
      <c r="A309" s="31" t="s">
        <v>334</v>
      </c>
      <c r="B309" s="53" t="s">
        <v>1177</v>
      </c>
      <c r="C309" s="17" t="s">
        <v>1339</v>
      </c>
      <c r="D309" s="17" t="s">
        <v>184</v>
      </c>
      <c r="E309" s="39"/>
      <c r="F309" s="39"/>
      <c r="G309" s="19">
        <f>G310</f>
        <v>145046.1</v>
      </c>
    </row>
    <row r="310" spans="1:7" ht="24" customHeight="1">
      <c r="A310" s="37" t="s">
        <v>948</v>
      </c>
      <c r="B310" s="53" t="s">
        <v>1177</v>
      </c>
      <c r="C310" s="17" t="s">
        <v>1339</v>
      </c>
      <c r="D310" s="17" t="s">
        <v>184</v>
      </c>
      <c r="E310" s="17" t="s">
        <v>15</v>
      </c>
      <c r="F310" s="17"/>
      <c r="G310" s="19">
        <f>G311+G323</f>
        <v>145046.1</v>
      </c>
    </row>
    <row r="311" spans="1:7" ht="40.5" customHeight="1">
      <c r="A311" s="64" t="s">
        <v>16</v>
      </c>
      <c r="B311" s="53" t="s">
        <v>1177</v>
      </c>
      <c r="C311" s="17" t="s">
        <v>1339</v>
      </c>
      <c r="D311" s="17" t="s">
        <v>184</v>
      </c>
      <c r="E311" s="17" t="s">
        <v>644</v>
      </c>
      <c r="F311" s="17"/>
      <c r="G311" s="19">
        <f>G312+G315+G319</f>
        <v>55360.4</v>
      </c>
    </row>
    <row r="312" spans="1:7" ht="23.25" customHeight="1">
      <c r="A312" s="36" t="s">
        <v>459</v>
      </c>
      <c r="B312" s="53" t="s">
        <v>1177</v>
      </c>
      <c r="C312" s="17" t="s">
        <v>1339</v>
      </c>
      <c r="D312" s="17" t="s">
        <v>184</v>
      </c>
      <c r="E312" s="17" t="s">
        <v>645</v>
      </c>
      <c r="F312" s="17" t="s">
        <v>641</v>
      </c>
      <c r="G312" s="19">
        <f>G313</f>
        <v>15689.4</v>
      </c>
    </row>
    <row r="313" spans="1:7" ht="15.75" customHeight="1">
      <c r="A313" s="18" t="s">
        <v>1103</v>
      </c>
      <c r="B313" s="53" t="s">
        <v>1177</v>
      </c>
      <c r="C313" s="17" t="s">
        <v>1339</v>
      </c>
      <c r="D313" s="17" t="s">
        <v>184</v>
      </c>
      <c r="E313" s="17" t="s">
        <v>645</v>
      </c>
      <c r="F313" s="17" t="s">
        <v>419</v>
      </c>
      <c r="G313" s="20">
        <f>15686-1166.6+1700-530</f>
        <v>15689.4</v>
      </c>
    </row>
    <row r="314" spans="1:7" ht="24.75" customHeight="1" hidden="1">
      <c r="A314" s="18" t="s">
        <v>417</v>
      </c>
      <c r="B314" s="53" t="s">
        <v>1177</v>
      </c>
      <c r="C314" s="17" t="s">
        <v>1339</v>
      </c>
      <c r="D314" s="17" t="s">
        <v>184</v>
      </c>
      <c r="E314" s="17" t="s">
        <v>645</v>
      </c>
      <c r="F314" s="17" t="s">
        <v>420</v>
      </c>
      <c r="G314" s="66">
        <v>16301</v>
      </c>
    </row>
    <row r="315" spans="1:7" ht="26.25" customHeight="1">
      <c r="A315" s="64" t="s">
        <v>643</v>
      </c>
      <c r="B315" s="53" t="s">
        <v>1177</v>
      </c>
      <c r="C315" s="17" t="s">
        <v>1339</v>
      </c>
      <c r="D315" s="17" t="s">
        <v>184</v>
      </c>
      <c r="E315" s="17" t="s">
        <v>646</v>
      </c>
      <c r="F315" s="17"/>
      <c r="G315" s="184">
        <f>G316</f>
        <v>39156</v>
      </c>
    </row>
    <row r="316" spans="1:7" ht="26.25" customHeight="1">
      <c r="A316" s="36" t="s">
        <v>459</v>
      </c>
      <c r="B316" s="53" t="s">
        <v>1177</v>
      </c>
      <c r="C316" s="17" t="s">
        <v>1339</v>
      </c>
      <c r="D316" s="17" t="s">
        <v>184</v>
      </c>
      <c r="E316" s="17" t="s">
        <v>646</v>
      </c>
      <c r="F316" s="17" t="s">
        <v>641</v>
      </c>
      <c r="G316" s="184">
        <f>G317</f>
        <v>39156</v>
      </c>
    </row>
    <row r="317" spans="1:7" ht="24">
      <c r="A317" s="18" t="s">
        <v>1103</v>
      </c>
      <c r="B317" s="53" t="s">
        <v>1177</v>
      </c>
      <c r="C317" s="17" t="s">
        <v>1339</v>
      </c>
      <c r="D317" s="17" t="s">
        <v>184</v>
      </c>
      <c r="E317" s="17" t="s">
        <v>646</v>
      </c>
      <c r="F317" s="39" t="s">
        <v>419</v>
      </c>
      <c r="G317" s="20">
        <f>36196-2300-891+5151+1000-200+200</f>
        <v>39156</v>
      </c>
    </row>
    <row r="318" spans="1:7" ht="24" hidden="1">
      <c r="A318" s="18" t="s">
        <v>417</v>
      </c>
      <c r="B318" s="53" t="s">
        <v>1177</v>
      </c>
      <c r="C318" s="17" t="s">
        <v>1339</v>
      </c>
      <c r="D318" s="17" t="s">
        <v>184</v>
      </c>
      <c r="E318" s="17" t="s">
        <v>646</v>
      </c>
      <c r="F318" s="39" t="s">
        <v>420</v>
      </c>
      <c r="G318" s="20">
        <v>36196</v>
      </c>
    </row>
    <row r="319" spans="1:7" ht="48">
      <c r="A319" s="18" t="s">
        <v>1111</v>
      </c>
      <c r="B319" s="53" t="s">
        <v>1177</v>
      </c>
      <c r="C319" s="17" t="s">
        <v>1339</v>
      </c>
      <c r="D319" s="17" t="s">
        <v>184</v>
      </c>
      <c r="E319" s="17" t="s">
        <v>1112</v>
      </c>
      <c r="F319" s="39"/>
      <c r="G319" s="19">
        <f>G320</f>
        <v>515</v>
      </c>
    </row>
    <row r="320" spans="1:7" ht="24">
      <c r="A320" s="36" t="s">
        <v>459</v>
      </c>
      <c r="B320" s="53" t="s">
        <v>1177</v>
      </c>
      <c r="C320" s="187" t="s">
        <v>1339</v>
      </c>
      <c r="D320" s="187" t="s">
        <v>184</v>
      </c>
      <c r="E320" s="187" t="s">
        <v>1112</v>
      </c>
      <c r="F320" s="188" t="s">
        <v>641</v>
      </c>
      <c r="G320" s="189">
        <f>G321</f>
        <v>515</v>
      </c>
    </row>
    <row r="321" spans="1:7" ht="24">
      <c r="A321" s="186" t="s">
        <v>1103</v>
      </c>
      <c r="B321" s="53" t="s">
        <v>1177</v>
      </c>
      <c r="C321" s="187" t="s">
        <v>1339</v>
      </c>
      <c r="D321" s="187" t="s">
        <v>184</v>
      </c>
      <c r="E321" s="187" t="s">
        <v>1112</v>
      </c>
      <c r="F321" s="188" t="s">
        <v>419</v>
      </c>
      <c r="G321" s="236">
        <v>515</v>
      </c>
    </row>
    <row r="322" spans="1:7" ht="24" hidden="1">
      <c r="A322" s="18" t="s">
        <v>417</v>
      </c>
      <c r="B322" s="53" t="s">
        <v>1177</v>
      </c>
      <c r="C322" s="17" t="s">
        <v>1339</v>
      </c>
      <c r="D322" s="17" t="s">
        <v>184</v>
      </c>
      <c r="E322" s="17" t="s">
        <v>1112</v>
      </c>
      <c r="F322" s="39" t="s">
        <v>420</v>
      </c>
      <c r="G322" s="20">
        <v>515</v>
      </c>
    </row>
    <row r="323" spans="1:7" ht="36">
      <c r="A323" s="190" t="s">
        <v>1309</v>
      </c>
      <c r="B323" s="53" t="s">
        <v>1177</v>
      </c>
      <c r="C323" s="187" t="s">
        <v>1339</v>
      </c>
      <c r="D323" s="187" t="s">
        <v>184</v>
      </c>
      <c r="E323" s="54" t="s">
        <v>1310</v>
      </c>
      <c r="F323" s="191"/>
      <c r="G323" s="19">
        <f>G324</f>
        <v>89685.7</v>
      </c>
    </row>
    <row r="324" spans="1:7" ht="24">
      <c r="A324" s="36" t="s">
        <v>459</v>
      </c>
      <c r="B324" s="53" t="s">
        <v>1177</v>
      </c>
      <c r="C324" s="54" t="s">
        <v>1311</v>
      </c>
      <c r="D324" s="54" t="s">
        <v>184</v>
      </c>
      <c r="E324" s="54" t="s">
        <v>1312</v>
      </c>
      <c r="F324" s="191" t="s">
        <v>641</v>
      </c>
      <c r="G324" s="19">
        <f>G325</f>
        <v>89685.7</v>
      </c>
    </row>
    <row r="325" spans="1:7" ht="24">
      <c r="A325" s="190" t="s">
        <v>390</v>
      </c>
      <c r="B325" s="53" t="s">
        <v>1177</v>
      </c>
      <c r="C325" s="54" t="s">
        <v>1311</v>
      </c>
      <c r="D325" s="54" t="s">
        <v>184</v>
      </c>
      <c r="E325" s="54" t="s">
        <v>1312</v>
      </c>
      <c r="F325" s="191" t="s">
        <v>419</v>
      </c>
      <c r="G325" s="19">
        <f>G326+G327+G329+G328</f>
        <v>89685.7</v>
      </c>
    </row>
    <row r="326" spans="1:7" ht="96">
      <c r="A326" s="190" t="s">
        <v>531</v>
      </c>
      <c r="B326" s="53" t="s">
        <v>1177</v>
      </c>
      <c r="C326" s="54" t="s">
        <v>1311</v>
      </c>
      <c r="D326" s="54" t="s">
        <v>184</v>
      </c>
      <c r="E326" s="54" t="s">
        <v>1312</v>
      </c>
      <c r="F326" s="191" t="s">
        <v>419</v>
      </c>
      <c r="G326" s="20">
        <f>68699.5+11568.1+232.9+2500+2610+621.9+532.2+699.8+1176.1+70.2-692.5+502.9-0.1+572.8-50-260-580</f>
        <v>88203.79999999999</v>
      </c>
    </row>
    <row r="327" spans="1:7" ht="24">
      <c r="A327" s="190" t="s">
        <v>1186</v>
      </c>
      <c r="B327" s="53" t="s">
        <v>1177</v>
      </c>
      <c r="C327" s="54" t="s">
        <v>1311</v>
      </c>
      <c r="D327" s="54" t="s">
        <v>184</v>
      </c>
      <c r="E327" s="54" t="s">
        <v>1312</v>
      </c>
      <c r="F327" s="191" t="s">
        <v>419</v>
      </c>
      <c r="G327" s="20">
        <v>494.3</v>
      </c>
    </row>
    <row r="328" spans="1:7" ht="24">
      <c r="A328" s="190" t="s">
        <v>509</v>
      </c>
      <c r="B328" s="53" t="s">
        <v>1177</v>
      </c>
      <c r="C328" s="54" t="s">
        <v>1339</v>
      </c>
      <c r="D328" s="54" t="s">
        <v>184</v>
      </c>
      <c r="E328" s="54" t="s">
        <v>1312</v>
      </c>
      <c r="F328" s="191" t="s">
        <v>419</v>
      </c>
      <c r="G328" s="20">
        <v>487.6</v>
      </c>
    </row>
    <row r="329" spans="1:7" ht="36">
      <c r="A329" s="190" t="s">
        <v>563</v>
      </c>
      <c r="B329" s="53" t="s">
        <v>1177</v>
      </c>
      <c r="C329" s="54" t="s">
        <v>1339</v>
      </c>
      <c r="D329" s="54" t="s">
        <v>184</v>
      </c>
      <c r="E329" s="54" t="s">
        <v>1312</v>
      </c>
      <c r="F329" s="191" t="s">
        <v>419</v>
      </c>
      <c r="G329" s="20">
        <v>500</v>
      </c>
    </row>
    <row r="330" spans="1:7" ht="15">
      <c r="A330" s="78" t="s">
        <v>395</v>
      </c>
      <c r="B330" s="53" t="s">
        <v>1177</v>
      </c>
      <c r="C330" s="17" t="s">
        <v>1339</v>
      </c>
      <c r="D330" s="17" t="s">
        <v>1154</v>
      </c>
      <c r="E330" s="17"/>
      <c r="F330" s="17"/>
      <c r="G330" s="19">
        <f>G331+G356</f>
        <v>89149.2</v>
      </c>
    </row>
    <row r="331" spans="1:7" ht="24">
      <c r="A331" s="37" t="s">
        <v>948</v>
      </c>
      <c r="B331" s="53" t="s">
        <v>1177</v>
      </c>
      <c r="C331" s="17" t="s">
        <v>1339</v>
      </c>
      <c r="D331" s="17" t="s">
        <v>1154</v>
      </c>
      <c r="E331" s="17" t="s">
        <v>15</v>
      </c>
      <c r="F331" s="17"/>
      <c r="G331" s="19">
        <f>G332+G345</f>
        <v>88599.2</v>
      </c>
    </row>
    <row r="332" spans="1:7" ht="24">
      <c r="A332" s="18" t="s">
        <v>1313</v>
      </c>
      <c r="B332" s="53" t="s">
        <v>1177</v>
      </c>
      <c r="C332" s="17" t="s">
        <v>1339</v>
      </c>
      <c r="D332" s="17" t="s">
        <v>1154</v>
      </c>
      <c r="E332" s="17" t="s">
        <v>17</v>
      </c>
      <c r="F332" s="17"/>
      <c r="G332" s="19">
        <f>G333+G337+G341</f>
        <v>63975.5</v>
      </c>
    </row>
    <row r="333" spans="1:7" ht="24">
      <c r="A333" s="36" t="s">
        <v>459</v>
      </c>
      <c r="B333" s="53" t="s">
        <v>1177</v>
      </c>
      <c r="C333" s="17" t="s">
        <v>1339</v>
      </c>
      <c r="D333" s="17" t="s">
        <v>1154</v>
      </c>
      <c r="E333" s="17" t="s">
        <v>1314</v>
      </c>
      <c r="F333" s="17" t="s">
        <v>641</v>
      </c>
      <c r="G333" s="19">
        <f>G334+G336</f>
        <v>15305.5</v>
      </c>
    </row>
    <row r="334" spans="1:7" ht="24">
      <c r="A334" s="186" t="s">
        <v>460</v>
      </c>
      <c r="B334" s="53" t="s">
        <v>1177</v>
      </c>
      <c r="C334" s="17" t="s">
        <v>1339</v>
      </c>
      <c r="D334" s="17" t="s">
        <v>1154</v>
      </c>
      <c r="E334" s="17" t="s">
        <v>1314</v>
      </c>
      <c r="F334" s="17" t="s">
        <v>419</v>
      </c>
      <c r="G334" s="20">
        <f>9731+G335-117-45-1700</f>
        <v>8415</v>
      </c>
    </row>
    <row r="335" spans="1:7" ht="24">
      <c r="A335" s="186" t="s">
        <v>387</v>
      </c>
      <c r="B335" s="53" t="s">
        <v>1177</v>
      </c>
      <c r="C335" s="17" t="s">
        <v>1339</v>
      </c>
      <c r="D335" s="17" t="s">
        <v>1154</v>
      </c>
      <c r="E335" s="17" t="s">
        <v>1314</v>
      </c>
      <c r="F335" s="17" t="s">
        <v>419</v>
      </c>
      <c r="G335" s="20">
        <f>600-54</f>
        <v>546</v>
      </c>
    </row>
    <row r="336" spans="1:7" ht="24">
      <c r="A336" s="18" t="s">
        <v>243</v>
      </c>
      <c r="B336" s="53" t="s">
        <v>1177</v>
      </c>
      <c r="C336" s="17" t="s">
        <v>1339</v>
      </c>
      <c r="D336" s="17" t="s">
        <v>1154</v>
      </c>
      <c r="E336" s="17" t="s">
        <v>1314</v>
      </c>
      <c r="F336" s="17" t="s">
        <v>244</v>
      </c>
      <c r="G336" s="20">
        <f>5823+117+950.5</f>
        <v>6890.5</v>
      </c>
    </row>
    <row r="337" spans="1:7" ht="32.25" customHeight="1">
      <c r="A337" s="18" t="s">
        <v>643</v>
      </c>
      <c r="B337" s="53" t="s">
        <v>1177</v>
      </c>
      <c r="C337" s="17" t="s">
        <v>1339</v>
      </c>
      <c r="D337" s="17" t="s">
        <v>1154</v>
      </c>
      <c r="E337" s="17" t="s">
        <v>1315</v>
      </c>
      <c r="F337" s="17" t="s">
        <v>1204</v>
      </c>
      <c r="G337" s="19">
        <f>G338</f>
        <v>24364</v>
      </c>
    </row>
    <row r="338" spans="1:7" ht="32.25" customHeight="1">
      <c r="A338" s="36" t="s">
        <v>459</v>
      </c>
      <c r="B338" s="53" t="s">
        <v>1177</v>
      </c>
      <c r="C338" s="17" t="s">
        <v>1339</v>
      </c>
      <c r="D338" s="17" t="s">
        <v>1154</v>
      </c>
      <c r="E338" s="17" t="s">
        <v>1315</v>
      </c>
      <c r="F338" s="17" t="s">
        <v>641</v>
      </c>
      <c r="G338" s="19">
        <f>G339+G340</f>
        <v>24364</v>
      </c>
    </row>
    <row r="339" spans="1:7" ht="22.5" customHeight="1">
      <c r="A339" s="18" t="s">
        <v>1103</v>
      </c>
      <c r="B339" s="53" t="s">
        <v>1177</v>
      </c>
      <c r="C339" s="17" t="s">
        <v>1339</v>
      </c>
      <c r="D339" s="17" t="s">
        <v>1154</v>
      </c>
      <c r="E339" s="17" t="s">
        <v>1315</v>
      </c>
      <c r="F339" s="17" t="s">
        <v>419</v>
      </c>
      <c r="G339" s="20">
        <f>32449-1159+891-7717-1000-200+200</f>
        <v>23464</v>
      </c>
    </row>
    <row r="340" spans="1:7" ht="24">
      <c r="A340" s="18" t="s">
        <v>243</v>
      </c>
      <c r="B340" s="53" t="s">
        <v>1177</v>
      </c>
      <c r="C340" s="17" t="s">
        <v>1339</v>
      </c>
      <c r="D340" s="17" t="s">
        <v>1154</v>
      </c>
      <c r="E340" s="17" t="s">
        <v>1315</v>
      </c>
      <c r="F340" s="17" t="s">
        <v>244</v>
      </c>
      <c r="G340" s="20">
        <v>900</v>
      </c>
    </row>
    <row r="341" spans="1:7" ht="48">
      <c r="A341" s="18" t="s">
        <v>1111</v>
      </c>
      <c r="B341" s="53" t="s">
        <v>1177</v>
      </c>
      <c r="C341" s="17" t="s">
        <v>1339</v>
      </c>
      <c r="D341" s="17" t="s">
        <v>1154</v>
      </c>
      <c r="E341" s="17" t="s">
        <v>1316</v>
      </c>
      <c r="F341" s="17" t="s">
        <v>1204</v>
      </c>
      <c r="G341" s="19">
        <f>G342</f>
        <v>24306</v>
      </c>
    </row>
    <row r="342" spans="1:7" ht="24">
      <c r="A342" s="36" t="s">
        <v>459</v>
      </c>
      <c r="B342" s="53" t="s">
        <v>1177</v>
      </c>
      <c r="C342" s="17" t="s">
        <v>1339</v>
      </c>
      <c r="D342" s="17" t="s">
        <v>1154</v>
      </c>
      <c r="E342" s="17" t="s">
        <v>1316</v>
      </c>
      <c r="F342" s="17" t="s">
        <v>641</v>
      </c>
      <c r="G342" s="19">
        <f>G343</f>
        <v>24306</v>
      </c>
    </row>
    <row r="343" spans="1:7" ht="24">
      <c r="A343" s="186" t="s">
        <v>1103</v>
      </c>
      <c r="B343" s="53" t="s">
        <v>1177</v>
      </c>
      <c r="C343" s="17" t="s">
        <v>1339</v>
      </c>
      <c r="D343" s="17" t="s">
        <v>1154</v>
      </c>
      <c r="E343" s="17" t="s">
        <v>1316</v>
      </c>
      <c r="F343" s="17" t="s">
        <v>419</v>
      </c>
      <c r="G343" s="20">
        <f>24085+221</f>
        <v>24306</v>
      </c>
    </row>
    <row r="344" spans="1:7" ht="24" hidden="1">
      <c r="A344" s="18" t="s">
        <v>417</v>
      </c>
      <c r="B344" s="53" t="s">
        <v>1177</v>
      </c>
      <c r="C344" s="17" t="s">
        <v>1339</v>
      </c>
      <c r="D344" s="17" t="s">
        <v>1154</v>
      </c>
      <c r="E344" s="17" t="s">
        <v>1316</v>
      </c>
      <c r="F344" s="17" t="s">
        <v>420</v>
      </c>
      <c r="G344" s="20"/>
    </row>
    <row r="345" spans="1:7" ht="36">
      <c r="A345" s="18" t="s">
        <v>1309</v>
      </c>
      <c r="B345" s="53" t="s">
        <v>1177</v>
      </c>
      <c r="C345" s="17" t="s">
        <v>1339</v>
      </c>
      <c r="D345" s="17" t="s">
        <v>1154</v>
      </c>
      <c r="E345" s="17" t="s">
        <v>1310</v>
      </c>
      <c r="F345" s="17"/>
      <c r="G345" s="19">
        <f>G346</f>
        <v>24623.7</v>
      </c>
    </row>
    <row r="346" spans="1:7" ht="24">
      <c r="A346" s="36" t="s">
        <v>459</v>
      </c>
      <c r="B346" s="53" t="s">
        <v>1177</v>
      </c>
      <c r="C346" s="17" t="s">
        <v>1339</v>
      </c>
      <c r="D346" s="17" t="s">
        <v>1154</v>
      </c>
      <c r="E346" s="17" t="s">
        <v>1312</v>
      </c>
      <c r="F346" s="17" t="s">
        <v>641</v>
      </c>
      <c r="G346" s="19">
        <f>G347+G354</f>
        <v>24623.7</v>
      </c>
    </row>
    <row r="347" spans="1:7" ht="24">
      <c r="A347" s="18" t="s">
        <v>390</v>
      </c>
      <c r="B347" s="53" t="s">
        <v>1177</v>
      </c>
      <c r="C347" s="17" t="s">
        <v>1339</v>
      </c>
      <c r="D347" s="17" t="s">
        <v>1154</v>
      </c>
      <c r="E347" s="17" t="s">
        <v>1312</v>
      </c>
      <c r="F347" s="17" t="s">
        <v>419</v>
      </c>
      <c r="G347" s="20">
        <f>G348+G349+G350+G353+G351+G352</f>
        <v>24434.9</v>
      </c>
    </row>
    <row r="348" spans="1:7" ht="120">
      <c r="A348" s="190" t="s">
        <v>939</v>
      </c>
      <c r="B348" s="53" t="s">
        <v>1177</v>
      </c>
      <c r="C348" s="17" t="s">
        <v>1339</v>
      </c>
      <c r="D348" s="17" t="s">
        <v>1154</v>
      </c>
      <c r="E348" s="17" t="s">
        <v>1312</v>
      </c>
      <c r="F348" s="17" t="s">
        <v>419</v>
      </c>
      <c r="G348" s="20">
        <f>21318.5+305.9+4580.8+2141.1+111.3-1265.4-699.8-1364.8+118.5+0.2+50-30-1100</f>
        <v>24166.3</v>
      </c>
    </row>
    <row r="349" spans="1:7" ht="15" hidden="1">
      <c r="A349" s="190" t="s">
        <v>882</v>
      </c>
      <c r="B349" s="53" t="s">
        <v>1177</v>
      </c>
      <c r="C349" s="17" t="s">
        <v>1339</v>
      </c>
      <c r="D349" s="17" t="s">
        <v>1154</v>
      </c>
      <c r="E349" s="17" t="s">
        <v>1312</v>
      </c>
      <c r="F349" s="17" t="s">
        <v>419</v>
      </c>
      <c r="G349" s="20">
        <v>0</v>
      </c>
    </row>
    <row r="350" spans="1:7" ht="24">
      <c r="A350" s="190" t="s">
        <v>771</v>
      </c>
      <c r="B350" s="53" t="s">
        <v>1177</v>
      </c>
      <c r="C350" s="17" t="s">
        <v>1339</v>
      </c>
      <c r="D350" s="17" t="s">
        <v>1154</v>
      </c>
      <c r="E350" s="17" t="s">
        <v>1312</v>
      </c>
      <c r="F350" s="17" t="s">
        <v>419</v>
      </c>
      <c r="G350" s="20">
        <v>54</v>
      </c>
    </row>
    <row r="351" spans="1:7" ht="24">
      <c r="A351" s="190" t="s">
        <v>135</v>
      </c>
      <c r="B351" s="53" t="s">
        <v>1177</v>
      </c>
      <c r="C351" s="17" t="s">
        <v>1339</v>
      </c>
      <c r="D351" s="17" t="s">
        <v>1154</v>
      </c>
      <c r="E351" s="17" t="s">
        <v>1312</v>
      </c>
      <c r="F351" s="17" t="s">
        <v>419</v>
      </c>
      <c r="G351" s="20">
        <v>90.9</v>
      </c>
    </row>
    <row r="352" spans="1:7" ht="30.75" customHeight="1">
      <c r="A352" s="190" t="s">
        <v>175</v>
      </c>
      <c r="B352" s="53" t="s">
        <v>1177</v>
      </c>
      <c r="C352" s="17" t="s">
        <v>1339</v>
      </c>
      <c r="D352" s="17" t="s">
        <v>1154</v>
      </c>
      <c r="E352" s="17" t="s">
        <v>1312</v>
      </c>
      <c r="F352" s="17" t="s">
        <v>419</v>
      </c>
      <c r="G352" s="20">
        <v>98.7</v>
      </c>
    </row>
    <row r="353" spans="1:7" ht="21.75" customHeight="1">
      <c r="A353" s="190" t="s">
        <v>900</v>
      </c>
      <c r="B353" s="53" t="s">
        <v>1177</v>
      </c>
      <c r="C353" s="17" t="s">
        <v>1339</v>
      </c>
      <c r="D353" s="17" t="s">
        <v>1154</v>
      </c>
      <c r="E353" s="17" t="s">
        <v>1312</v>
      </c>
      <c r="F353" s="17" t="s">
        <v>419</v>
      </c>
      <c r="G353" s="20">
        <v>25</v>
      </c>
    </row>
    <row r="354" spans="1:7" ht="24">
      <c r="A354" s="190" t="s">
        <v>883</v>
      </c>
      <c r="B354" s="53" t="s">
        <v>1177</v>
      </c>
      <c r="C354" s="17" t="s">
        <v>1339</v>
      </c>
      <c r="D354" s="17" t="s">
        <v>1154</v>
      </c>
      <c r="E354" s="17" t="s">
        <v>1312</v>
      </c>
      <c r="F354" s="17" t="s">
        <v>244</v>
      </c>
      <c r="G354" s="20">
        <f>G355</f>
        <v>188.8</v>
      </c>
    </row>
    <row r="355" spans="1:7" ht="24">
      <c r="A355" s="190" t="s">
        <v>236</v>
      </c>
      <c r="B355" s="53" t="s">
        <v>1177</v>
      </c>
      <c r="C355" s="17" t="s">
        <v>1339</v>
      </c>
      <c r="D355" s="17" t="s">
        <v>1154</v>
      </c>
      <c r="E355" s="17" t="s">
        <v>1312</v>
      </c>
      <c r="F355" s="17" t="s">
        <v>244</v>
      </c>
      <c r="G355" s="20">
        <v>188.8</v>
      </c>
    </row>
    <row r="356" spans="1:7" ht="48">
      <c r="A356" s="190" t="s">
        <v>609</v>
      </c>
      <c r="B356" s="53" t="s">
        <v>1177</v>
      </c>
      <c r="C356" s="17" t="s">
        <v>1339</v>
      </c>
      <c r="D356" s="17" t="s">
        <v>1154</v>
      </c>
      <c r="E356" s="17" t="s">
        <v>1227</v>
      </c>
      <c r="F356" s="17"/>
      <c r="G356" s="19">
        <f>G357</f>
        <v>550</v>
      </c>
    </row>
    <row r="357" spans="1:7" ht="24">
      <c r="A357" s="36" t="s">
        <v>459</v>
      </c>
      <c r="B357" s="53" t="s">
        <v>1177</v>
      </c>
      <c r="C357" s="17" t="s">
        <v>1339</v>
      </c>
      <c r="D357" s="17" t="s">
        <v>1154</v>
      </c>
      <c r="E357" s="17" t="s">
        <v>1227</v>
      </c>
      <c r="F357" s="17" t="s">
        <v>641</v>
      </c>
      <c r="G357" s="19">
        <f>G358</f>
        <v>550</v>
      </c>
    </row>
    <row r="358" spans="1:7" ht="24">
      <c r="A358" s="18" t="s">
        <v>1103</v>
      </c>
      <c r="B358" s="53" t="s">
        <v>1177</v>
      </c>
      <c r="C358" s="17" t="s">
        <v>1339</v>
      </c>
      <c r="D358" s="17" t="s">
        <v>1154</v>
      </c>
      <c r="E358" s="17" t="s">
        <v>1227</v>
      </c>
      <c r="F358" s="17" t="s">
        <v>419</v>
      </c>
      <c r="G358" s="20">
        <v>550</v>
      </c>
    </row>
    <row r="359" spans="1:7" ht="15">
      <c r="A359" s="78" t="s">
        <v>576</v>
      </c>
      <c r="B359" s="53" t="s">
        <v>1177</v>
      </c>
      <c r="C359" s="17" t="s">
        <v>1339</v>
      </c>
      <c r="D359" s="17" t="s">
        <v>1340</v>
      </c>
      <c r="E359" s="17"/>
      <c r="F359" s="17"/>
      <c r="G359" s="19">
        <f>G360</f>
        <v>73</v>
      </c>
    </row>
    <row r="360" spans="1:7" ht="24">
      <c r="A360" s="37" t="s">
        <v>948</v>
      </c>
      <c r="B360" s="53" t="s">
        <v>1177</v>
      </c>
      <c r="C360" s="54" t="s">
        <v>1339</v>
      </c>
      <c r="D360" s="54" t="s">
        <v>1340</v>
      </c>
      <c r="E360" s="54" t="s">
        <v>15</v>
      </c>
      <c r="F360" s="54"/>
      <c r="G360" s="19">
        <f>G363</f>
        <v>73</v>
      </c>
    </row>
    <row r="361" spans="1:7" ht="24">
      <c r="A361" s="36" t="s">
        <v>1313</v>
      </c>
      <c r="B361" s="53" t="s">
        <v>1177</v>
      </c>
      <c r="C361" s="54" t="s">
        <v>1339</v>
      </c>
      <c r="D361" s="54" t="s">
        <v>1340</v>
      </c>
      <c r="E361" s="54" t="s">
        <v>17</v>
      </c>
      <c r="F361" s="54"/>
      <c r="G361" s="19">
        <f>G362</f>
        <v>73</v>
      </c>
    </row>
    <row r="362" spans="1:7" ht="24">
      <c r="A362" s="36" t="s">
        <v>459</v>
      </c>
      <c r="B362" s="53" t="s">
        <v>1177</v>
      </c>
      <c r="C362" s="17" t="s">
        <v>1339</v>
      </c>
      <c r="D362" s="17" t="s">
        <v>1340</v>
      </c>
      <c r="E362" s="54" t="s">
        <v>227</v>
      </c>
      <c r="F362" s="54" t="s">
        <v>641</v>
      </c>
      <c r="G362" s="19">
        <f>G363</f>
        <v>73</v>
      </c>
    </row>
    <row r="363" spans="1:7" ht="24">
      <c r="A363" s="18" t="s">
        <v>1103</v>
      </c>
      <c r="B363" s="53" t="s">
        <v>1177</v>
      </c>
      <c r="C363" s="17" t="s">
        <v>1339</v>
      </c>
      <c r="D363" s="17" t="s">
        <v>1340</v>
      </c>
      <c r="E363" s="54" t="s">
        <v>227</v>
      </c>
      <c r="F363" s="17" t="s">
        <v>419</v>
      </c>
      <c r="G363" s="20">
        <f>35-7+45</f>
        <v>73</v>
      </c>
    </row>
    <row r="364" spans="1:7" ht="24" hidden="1">
      <c r="A364" s="18" t="s">
        <v>417</v>
      </c>
      <c r="B364" s="53" t="s">
        <v>1177</v>
      </c>
      <c r="C364" s="17" t="s">
        <v>1339</v>
      </c>
      <c r="D364" s="17" t="s">
        <v>1340</v>
      </c>
      <c r="E364" s="54" t="s">
        <v>227</v>
      </c>
      <c r="F364" s="17" t="s">
        <v>420</v>
      </c>
      <c r="G364" s="20">
        <v>35</v>
      </c>
    </row>
    <row r="365" spans="1:7" ht="15">
      <c r="A365" s="78" t="s">
        <v>283</v>
      </c>
      <c r="B365" s="53" t="s">
        <v>1177</v>
      </c>
      <c r="C365" s="17" t="s">
        <v>1339</v>
      </c>
      <c r="D365" s="17" t="s">
        <v>118</v>
      </c>
      <c r="E365" s="17"/>
      <c r="F365" s="17"/>
      <c r="G365" s="19">
        <f>G366</f>
        <v>5115.900000000001</v>
      </c>
    </row>
    <row r="366" spans="1:7" ht="24">
      <c r="A366" s="37" t="s">
        <v>948</v>
      </c>
      <c r="B366" s="53" t="s">
        <v>1177</v>
      </c>
      <c r="C366" s="17" t="s">
        <v>1339</v>
      </c>
      <c r="D366" s="17" t="s">
        <v>118</v>
      </c>
      <c r="E366" s="17" t="s">
        <v>15</v>
      </c>
      <c r="F366" s="17"/>
      <c r="G366" s="19">
        <f>G367+G370</f>
        <v>5115.900000000001</v>
      </c>
    </row>
    <row r="367" spans="1:7" ht="48">
      <c r="A367" s="36" t="s">
        <v>16</v>
      </c>
      <c r="B367" s="53" t="s">
        <v>1177</v>
      </c>
      <c r="C367" s="17" t="s">
        <v>1339</v>
      </c>
      <c r="D367" s="17" t="s">
        <v>118</v>
      </c>
      <c r="E367" s="17" t="s">
        <v>644</v>
      </c>
      <c r="F367" s="17"/>
      <c r="G367" s="19">
        <f>G368</f>
        <v>5027.1</v>
      </c>
    </row>
    <row r="368" spans="1:7" ht="24">
      <c r="A368" s="36" t="s">
        <v>459</v>
      </c>
      <c r="B368" s="53" t="s">
        <v>1177</v>
      </c>
      <c r="C368" s="17" t="s">
        <v>1339</v>
      </c>
      <c r="D368" s="17" t="s">
        <v>118</v>
      </c>
      <c r="E368" s="17" t="s">
        <v>228</v>
      </c>
      <c r="F368" s="17" t="s">
        <v>641</v>
      </c>
      <c r="G368" s="19">
        <f>G369</f>
        <v>5027.1</v>
      </c>
    </row>
    <row r="369" spans="1:7" ht="24">
      <c r="A369" s="18" t="s">
        <v>1103</v>
      </c>
      <c r="B369" s="53" t="s">
        <v>1177</v>
      </c>
      <c r="C369" s="17" t="s">
        <v>1339</v>
      </c>
      <c r="D369" s="17" t="s">
        <v>118</v>
      </c>
      <c r="E369" s="17" t="s">
        <v>228</v>
      </c>
      <c r="F369" s="17" t="s">
        <v>419</v>
      </c>
      <c r="G369" s="20">
        <f>471-101+797.1+3860</f>
        <v>5027.1</v>
      </c>
    </row>
    <row r="370" spans="1:7" ht="36">
      <c r="A370" s="18" t="s">
        <v>1309</v>
      </c>
      <c r="B370" s="53" t="s">
        <v>1177</v>
      </c>
      <c r="C370" s="17" t="s">
        <v>1339</v>
      </c>
      <c r="D370" s="17" t="s">
        <v>118</v>
      </c>
      <c r="E370" s="17" t="s">
        <v>1310</v>
      </c>
      <c r="F370" s="17"/>
      <c r="G370" s="19">
        <f>G371</f>
        <v>88.8</v>
      </c>
    </row>
    <row r="371" spans="1:7" ht="24">
      <c r="A371" s="36" t="s">
        <v>459</v>
      </c>
      <c r="B371" s="53" t="s">
        <v>1177</v>
      </c>
      <c r="C371" s="17" t="s">
        <v>1339</v>
      </c>
      <c r="D371" s="17" t="s">
        <v>118</v>
      </c>
      <c r="E371" s="17" t="s">
        <v>1312</v>
      </c>
      <c r="F371" s="17" t="s">
        <v>641</v>
      </c>
      <c r="G371" s="19">
        <f>G372</f>
        <v>88.8</v>
      </c>
    </row>
    <row r="372" spans="1:7" ht="24">
      <c r="A372" s="18" t="s">
        <v>460</v>
      </c>
      <c r="B372" s="53" t="s">
        <v>1177</v>
      </c>
      <c r="C372" s="17" t="s">
        <v>1339</v>
      </c>
      <c r="D372" s="17" t="s">
        <v>118</v>
      </c>
      <c r="E372" s="17" t="s">
        <v>1312</v>
      </c>
      <c r="F372" s="17" t="s">
        <v>419</v>
      </c>
      <c r="G372" s="19">
        <f>G373</f>
        <v>88.8</v>
      </c>
    </row>
    <row r="373" spans="1:7" ht="48">
      <c r="A373" s="190" t="s">
        <v>881</v>
      </c>
      <c r="B373" s="53" t="s">
        <v>1177</v>
      </c>
      <c r="C373" s="17" t="s">
        <v>1339</v>
      </c>
      <c r="D373" s="17" t="s">
        <v>118</v>
      </c>
      <c r="E373" s="17" t="s">
        <v>1312</v>
      </c>
      <c r="F373" s="17" t="s">
        <v>419</v>
      </c>
      <c r="G373" s="20">
        <v>88.8</v>
      </c>
    </row>
    <row r="374" spans="1:7" ht="24">
      <c r="A374" s="78" t="s">
        <v>1346</v>
      </c>
      <c r="B374" s="53" t="s">
        <v>1177</v>
      </c>
      <c r="C374" s="17" t="s">
        <v>1339</v>
      </c>
      <c r="D374" s="17" t="s">
        <v>1335</v>
      </c>
      <c r="E374" s="17"/>
      <c r="F374" s="17"/>
      <c r="G374" s="19">
        <f>G375</f>
        <v>11813</v>
      </c>
    </row>
    <row r="375" spans="1:7" ht="24">
      <c r="A375" s="37" t="s">
        <v>948</v>
      </c>
      <c r="B375" s="53" t="s">
        <v>1177</v>
      </c>
      <c r="C375" s="17" t="s">
        <v>1339</v>
      </c>
      <c r="D375" s="17" t="s">
        <v>1335</v>
      </c>
      <c r="E375" s="17" t="s">
        <v>15</v>
      </c>
      <c r="F375" s="17"/>
      <c r="G375" s="19">
        <f>G376</f>
        <v>11813</v>
      </c>
    </row>
    <row r="376" spans="1:7" ht="48">
      <c r="A376" s="36" t="s">
        <v>16</v>
      </c>
      <c r="B376" s="53" t="s">
        <v>1177</v>
      </c>
      <c r="C376" s="17" t="s">
        <v>1339</v>
      </c>
      <c r="D376" s="17" t="s">
        <v>1335</v>
      </c>
      <c r="E376" s="17" t="s">
        <v>644</v>
      </c>
      <c r="F376" s="17"/>
      <c r="G376" s="19">
        <f>G377+G380</f>
        <v>11813</v>
      </c>
    </row>
    <row r="377" spans="1:7" ht="24">
      <c r="A377" s="36" t="s">
        <v>459</v>
      </c>
      <c r="B377" s="53" t="s">
        <v>1177</v>
      </c>
      <c r="C377" s="17" t="s">
        <v>1339</v>
      </c>
      <c r="D377" s="17" t="s">
        <v>1335</v>
      </c>
      <c r="E377" s="17" t="s">
        <v>229</v>
      </c>
      <c r="F377" s="17" t="s">
        <v>641</v>
      </c>
      <c r="G377" s="19">
        <f>G378</f>
        <v>13</v>
      </c>
    </row>
    <row r="378" spans="1:7" ht="24">
      <c r="A378" s="18" t="s">
        <v>1103</v>
      </c>
      <c r="B378" s="53" t="s">
        <v>1177</v>
      </c>
      <c r="C378" s="17" t="s">
        <v>1339</v>
      </c>
      <c r="D378" s="17" t="s">
        <v>1335</v>
      </c>
      <c r="E378" s="17" t="s">
        <v>229</v>
      </c>
      <c r="F378" s="17" t="s">
        <v>419</v>
      </c>
      <c r="G378" s="20">
        <f>16-3</f>
        <v>13</v>
      </c>
    </row>
    <row r="379" spans="1:7" ht="24" hidden="1">
      <c r="A379" s="18" t="s">
        <v>417</v>
      </c>
      <c r="B379" s="53" t="s">
        <v>1177</v>
      </c>
      <c r="C379" s="17" t="s">
        <v>1339</v>
      </c>
      <c r="D379" s="17" t="s">
        <v>1335</v>
      </c>
      <c r="E379" s="17" t="s">
        <v>229</v>
      </c>
      <c r="F379" s="17" t="s">
        <v>420</v>
      </c>
      <c r="G379" s="20">
        <v>16</v>
      </c>
    </row>
    <row r="380" spans="1:7" ht="24">
      <c r="A380" s="36" t="s">
        <v>643</v>
      </c>
      <c r="B380" s="53" t="s">
        <v>1177</v>
      </c>
      <c r="C380" s="17" t="s">
        <v>1339</v>
      </c>
      <c r="D380" s="17" t="s">
        <v>1335</v>
      </c>
      <c r="E380" s="17" t="s">
        <v>646</v>
      </c>
      <c r="F380" s="17" t="s">
        <v>1204</v>
      </c>
      <c r="G380" s="19">
        <f>G381</f>
        <v>11800</v>
      </c>
    </row>
    <row r="381" spans="1:7" ht="24">
      <c r="A381" s="36" t="s">
        <v>459</v>
      </c>
      <c r="B381" s="53" t="s">
        <v>1177</v>
      </c>
      <c r="C381" s="17" t="s">
        <v>1339</v>
      </c>
      <c r="D381" s="17" t="s">
        <v>1335</v>
      </c>
      <c r="E381" s="17" t="s">
        <v>646</v>
      </c>
      <c r="F381" s="17" t="s">
        <v>641</v>
      </c>
      <c r="G381" s="19">
        <f>G382</f>
        <v>11800</v>
      </c>
    </row>
    <row r="382" spans="1:7" ht="24">
      <c r="A382" s="18" t="s">
        <v>1103</v>
      </c>
      <c r="B382" s="53" t="s">
        <v>1177</v>
      </c>
      <c r="C382" s="17" t="s">
        <v>1339</v>
      </c>
      <c r="D382" s="17" t="s">
        <v>1335</v>
      </c>
      <c r="E382" s="17" t="s">
        <v>646</v>
      </c>
      <c r="F382" s="17" t="s">
        <v>419</v>
      </c>
      <c r="G382" s="20">
        <f>9234+2566</f>
        <v>11800</v>
      </c>
    </row>
    <row r="383" spans="1:7" ht="24" hidden="1">
      <c r="A383" s="18" t="s">
        <v>417</v>
      </c>
      <c r="B383" s="53" t="s">
        <v>1177</v>
      </c>
      <c r="C383" s="17" t="s">
        <v>1339</v>
      </c>
      <c r="D383" s="17" t="s">
        <v>1335</v>
      </c>
      <c r="E383" s="17" t="s">
        <v>1315</v>
      </c>
      <c r="F383" s="17" t="s">
        <v>420</v>
      </c>
      <c r="G383" s="20">
        <v>9234</v>
      </c>
    </row>
    <row r="384" spans="1:7" ht="15">
      <c r="A384" s="40" t="s">
        <v>187</v>
      </c>
      <c r="B384" s="53" t="s">
        <v>1177</v>
      </c>
      <c r="C384" s="17" t="s">
        <v>1339</v>
      </c>
      <c r="D384" s="17" t="s">
        <v>1339</v>
      </c>
      <c r="E384" s="17"/>
      <c r="F384" s="17"/>
      <c r="G384" s="19">
        <f>G385</f>
        <v>19231.800000000003</v>
      </c>
    </row>
    <row r="385" spans="1:7" ht="24">
      <c r="A385" s="37" t="s">
        <v>948</v>
      </c>
      <c r="B385" s="53" t="s">
        <v>1177</v>
      </c>
      <c r="C385" s="17" t="s">
        <v>1339</v>
      </c>
      <c r="D385" s="17" t="s">
        <v>1339</v>
      </c>
      <c r="E385" s="17" t="s">
        <v>15</v>
      </c>
      <c r="F385" s="17"/>
      <c r="G385" s="19">
        <f>G386</f>
        <v>19231.800000000003</v>
      </c>
    </row>
    <row r="386" spans="1:7" ht="24">
      <c r="A386" s="29" t="s">
        <v>1265</v>
      </c>
      <c r="B386" s="53" t="s">
        <v>1177</v>
      </c>
      <c r="C386" s="17" t="s">
        <v>1339</v>
      </c>
      <c r="D386" s="17" t="s">
        <v>1339</v>
      </c>
      <c r="E386" s="17" t="s">
        <v>1266</v>
      </c>
      <c r="F386" s="17"/>
      <c r="G386" s="19">
        <f>G387+G394+G405+G401</f>
        <v>19231.800000000003</v>
      </c>
    </row>
    <row r="387" spans="1:7" ht="34.5" customHeight="1">
      <c r="A387" s="18" t="s">
        <v>1269</v>
      </c>
      <c r="B387" s="53" t="s">
        <v>1177</v>
      </c>
      <c r="C387" s="17" t="s">
        <v>1339</v>
      </c>
      <c r="D387" s="17" t="s">
        <v>1339</v>
      </c>
      <c r="E387" s="17" t="s">
        <v>121</v>
      </c>
      <c r="F387" s="17" t="s">
        <v>1204</v>
      </c>
      <c r="G387" s="19">
        <f>G388+G391</f>
        <v>4149</v>
      </c>
    </row>
    <row r="388" spans="1:7" ht="34.5" customHeight="1">
      <c r="A388" s="158" t="s">
        <v>485</v>
      </c>
      <c r="B388" s="53" t="s">
        <v>1177</v>
      </c>
      <c r="C388" s="17" t="s">
        <v>1339</v>
      </c>
      <c r="D388" s="17" t="s">
        <v>1339</v>
      </c>
      <c r="E388" s="17" t="s">
        <v>121</v>
      </c>
      <c r="F388" s="17" t="s">
        <v>21</v>
      </c>
      <c r="G388" s="19">
        <f>G389</f>
        <v>4149</v>
      </c>
    </row>
    <row r="389" spans="1:7" ht="21.75" customHeight="1">
      <c r="A389" s="158" t="s">
        <v>34</v>
      </c>
      <c r="B389" s="53" t="s">
        <v>1177</v>
      </c>
      <c r="C389" s="17" t="s">
        <v>1339</v>
      </c>
      <c r="D389" s="17" t="s">
        <v>1339</v>
      </c>
      <c r="E389" s="17" t="s">
        <v>121</v>
      </c>
      <c r="F389" s="17" t="s">
        <v>416</v>
      </c>
      <c r="G389" s="20">
        <f>4125+24</f>
        <v>4149</v>
      </c>
    </row>
    <row r="390" spans="1:7" ht="15" hidden="1">
      <c r="A390" s="18" t="s">
        <v>812</v>
      </c>
      <c r="B390" s="53" t="s">
        <v>1177</v>
      </c>
      <c r="C390" s="17" t="s">
        <v>1339</v>
      </c>
      <c r="D390" s="17" t="s">
        <v>1339</v>
      </c>
      <c r="E390" s="17" t="s">
        <v>121</v>
      </c>
      <c r="F390" s="17" t="s">
        <v>813</v>
      </c>
      <c r="G390" s="19">
        <v>4125</v>
      </c>
    </row>
    <row r="391" spans="1:7" ht="24">
      <c r="A391" s="158" t="s">
        <v>486</v>
      </c>
      <c r="B391" s="53" t="s">
        <v>1177</v>
      </c>
      <c r="C391" s="17" t="s">
        <v>1339</v>
      </c>
      <c r="D391" s="17" t="s">
        <v>1339</v>
      </c>
      <c r="E391" s="17" t="s">
        <v>121</v>
      </c>
      <c r="F391" s="17" t="s">
        <v>402</v>
      </c>
      <c r="G391" s="19">
        <f>G392</f>
        <v>0</v>
      </c>
    </row>
    <row r="392" spans="1:7" ht="24">
      <c r="A392" s="158" t="s">
        <v>471</v>
      </c>
      <c r="B392" s="53" t="s">
        <v>1177</v>
      </c>
      <c r="C392" s="17" t="s">
        <v>1339</v>
      </c>
      <c r="D392" s="17" t="s">
        <v>1339</v>
      </c>
      <c r="E392" s="17" t="s">
        <v>121</v>
      </c>
      <c r="F392" s="17" t="s">
        <v>1333</v>
      </c>
      <c r="G392" s="20">
        <f>24-24</f>
        <v>0</v>
      </c>
    </row>
    <row r="393" spans="1:7" ht="23.25" customHeight="1" hidden="1">
      <c r="A393" s="158" t="s">
        <v>233</v>
      </c>
      <c r="B393" s="53" t="s">
        <v>1177</v>
      </c>
      <c r="C393" s="17" t="s">
        <v>1339</v>
      </c>
      <c r="D393" s="17" t="s">
        <v>1339</v>
      </c>
      <c r="E393" s="17" t="s">
        <v>121</v>
      </c>
      <c r="F393" s="39" t="s">
        <v>234</v>
      </c>
      <c r="G393" s="20">
        <v>24</v>
      </c>
    </row>
    <row r="394" spans="1:7" ht="24">
      <c r="A394" s="18" t="s">
        <v>633</v>
      </c>
      <c r="B394" s="53" t="s">
        <v>1177</v>
      </c>
      <c r="C394" s="17" t="s">
        <v>1339</v>
      </c>
      <c r="D394" s="17" t="s">
        <v>1339</v>
      </c>
      <c r="E394" s="17" t="s">
        <v>1267</v>
      </c>
      <c r="F394" s="39" t="s">
        <v>1204</v>
      </c>
      <c r="G394" s="19">
        <f>G395+G398</f>
        <v>10478.800000000001</v>
      </c>
    </row>
    <row r="395" spans="1:7" ht="48">
      <c r="A395" s="158" t="s">
        <v>485</v>
      </c>
      <c r="B395" s="53" t="s">
        <v>1177</v>
      </c>
      <c r="C395" s="17" t="s">
        <v>1339</v>
      </c>
      <c r="D395" s="17" t="s">
        <v>1339</v>
      </c>
      <c r="E395" s="17" t="s">
        <v>1267</v>
      </c>
      <c r="F395" s="39" t="s">
        <v>21</v>
      </c>
      <c r="G395" s="19">
        <f>G396</f>
        <v>9966.800000000001</v>
      </c>
    </row>
    <row r="396" spans="1:7" ht="24">
      <c r="A396" s="158" t="s">
        <v>34</v>
      </c>
      <c r="B396" s="53" t="s">
        <v>1177</v>
      </c>
      <c r="C396" s="17" t="s">
        <v>1339</v>
      </c>
      <c r="D396" s="17" t="s">
        <v>1339</v>
      </c>
      <c r="E396" s="17" t="s">
        <v>1267</v>
      </c>
      <c r="F396" s="39" t="s">
        <v>416</v>
      </c>
      <c r="G396" s="20">
        <f>8286+746.7+934.1</f>
        <v>9966.800000000001</v>
      </c>
    </row>
    <row r="397" spans="1:7" ht="15" hidden="1">
      <c r="A397" s="18" t="s">
        <v>812</v>
      </c>
      <c r="B397" s="53" t="s">
        <v>1177</v>
      </c>
      <c r="C397" s="17" t="s">
        <v>1339</v>
      </c>
      <c r="D397" s="17" t="s">
        <v>1339</v>
      </c>
      <c r="E397" s="17" t="s">
        <v>1267</v>
      </c>
      <c r="F397" s="39" t="s">
        <v>813</v>
      </c>
      <c r="G397" s="20">
        <v>8286</v>
      </c>
    </row>
    <row r="398" spans="1:7" ht="24">
      <c r="A398" s="158" t="s">
        <v>486</v>
      </c>
      <c r="B398" s="53" t="s">
        <v>1177</v>
      </c>
      <c r="C398" s="17" t="s">
        <v>1339</v>
      </c>
      <c r="D398" s="17" t="s">
        <v>1339</v>
      </c>
      <c r="E398" s="17" t="s">
        <v>1267</v>
      </c>
      <c r="F398" s="39" t="s">
        <v>402</v>
      </c>
      <c r="G398" s="19">
        <f>G399</f>
        <v>512</v>
      </c>
    </row>
    <row r="399" spans="1:7" ht="24">
      <c r="A399" s="158" t="s">
        <v>471</v>
      </c>
      <c r="B399" s="53" t="s">
        <v>1177</v>
      </c>
      <c r="C399" s="17" t="s">
        <v>1339</v>
      </c>
      <c r="D399" s="17" t="s">
        <v>1339</v>
      </c>
      <c r="E399" s="17" t="s">
        <v>1267</v>
      </c>
      <c r="F399" s="39" t="s">
        <v>1333</v>
      </c>
      <c r="G399" s="20">
        <f>531+6-60+35</f>
        <v>512</v>
      </c>
    </row>
    <row r="400" spans="1:7" ht="15" hidden="1">
      <c r="A400" s="158" t="s">
        <v>233</v>
      </c>
      <c r="B400" s="53" t="s">
        <v>1177</v>
      </c>
      <c r="C400" s="17" t="s">
        <v>1339</v>
      </c>
      <c r="D400" s="17" t="s">
        <v>1339</v>
      </c>
      <c r="E400" s="17" t="s">
        <v>1267</v>
      </c>
      <c r="F400" s="39" t="s">
        <v>234</v>
      </c>
      <c r="G400" s="20">
        <v>531</v>
      </c>
    </row>
    <row r="401" spans="1:7" ht="24">
      <c r="A401" s="159" t="s">
        <v>819</v>
      </c>
      <c r="B401" s="53" t="s">
        <v>1177</v>
      </c>
      <c r="C401" s="17" t="s">
        <v>1339</v>
      </c>
      <c r="D401" s="17" t="s">
        <v>1339</v>
      </c>
      <c r="E401" s="17" t="s">
        <v>1268</v>
      </c>
      <c r="F401" s="39" t="s">
        <v>1204</v>
      </c>
      <c r="G401" s="19">
        <f>G402</f>
        <v>165</v>
      </c>
    </row>
    <row r="402" spans="1:7" ht="24">
      <c r="A402" s="158" t="s">
        <v>1189</v>
      </c>
      <c r="B402" s="53" t="s">
        <v>1177</v>
      </c>
      <c r="C402" s="17" t="s">
        <v>1339</v>
      </c>
      <c r="D402" s="17" t="s">
        <v>1339</v>
      </c>
      <c r="E402" s="17" t="s">
        <v>1268</v>
      </c>
      <c r="F402" s="39" t="s">
        <v>1190</v>
      </c>
      <c r="G402" s="19">
        <f>G403</f>
        <v>165</v>
      </c>
    </row>
    <row r="403" spans="1:7" ht="24">
      <c r="A403" s="158" t="s">
        <v>1059</v>
      </c>
      <c r="B403" s="53" t="s">
        <v>1177</v>
      </c>
      <c r="C403" s="17" t="s">
        <v>1339</v>
      </c>
      <c r="D403" s="17" t="s">
        <v>1339</v>
      </c>
      <c r="E403" s="17" t="s">
        <v>1268</v>
      </c>
      <c r="F403" s="39" t="s">
        <v>1060</v>
      </c>
      <c r="G403" s="20">
        <f>20+60+85</f>
        <v>165</v>
      </c>
    </row>
    <row r="404" spans="1:7" ht="15" hidden="1">
      <c r="A404" s="159" t="s">
        <v>819</v>
      </c>
      <c r="B404" s="53" t="s">
        <v>1177</v>
      </c>
      <c r="C404" s="17" t="s">
        <v>1339</v>
      </c>
      <c r="D404" s="17" t="s">
        <v>1339</v>
      </c>
      <c r="E404" s="17" t="s">
        <v>1268</v>
      </c>
      <c r="F404" s="39" t="s">
        <v>543</v>
      </c>
      <c r="G404" s="20">
        <v>20</v>
      </c>
    </row>
    <row r="405" spans="1:7" ht="27" customHeight="1">
      <c r="A405" s="29" t="s">
        <v>1270</v>
      </c>
      <c r="B405" s="53" t="s">
        <v>1177</v>
      </c>
      <c r="C405" s="17" t="s">
        <v>1339</v>
      </c>
      <c r="D405" s="17" t="s">
        <v>1339</v>
      </c>
      <c r="E405" s="17" t="s">
        <v>1271</v>
      </c>
      <c r="F405" s="39" t="s">
        <v>1204</v>
      </c>
      <c r="G405" s="19">
        <f>G406</f>
        <v>4439</v>
      </c>
    </row>
    <row r="406" spans="1:7" ht="27" customHeight="1">
      <c r="A406" s="36" t="s">
        <v>459</v>
      </c>
      <c r="B406" s="53" t="s">
        <v>1177</v>
      </c>
      <c r="C406" s="17" t="s">
        <v>1339</v>
      </c>
      <c r="D406" s="17" t="s">
        <v>1339</v>
      </c>
      <c r="E406" s="17" t="s">
        <v>1271</v>
      </c>
      <c r="F406" s="39" t="s">
        <v>641</v>
      </c>
      <c r="G406" s="19">
        <f>G407</f>
        <v>4439</v>
      </c>
    </row>
    <row r="407" spans="1:7" ht="24">
      <c r="A407" s="18" t="s">
        <v>1103</v>
      </c>
      <c r="B407" s="53" t="s">
        <v>1177</v>
      </c>
      <c r="C407" s="17" t="s">
        <v>1339</v>
      </c>
      <c r="D407" s="17" t="s">
        <v>1339</v>
      </c>
      <c r="E407" s="17" t="s">
        <v>1271</v>
      </c>
      <c r="F407" s="39" t="s">
        <v>419</v>
      </c>
      <c r="G407" s="20">
        <v>4439</v>
      </c>
    </row>
    <row r="408" spans="1:7" ht="24" hidden="1">
      <c r="A408" s="18" t="s">
        <v>417</v>
      </c>
      <c r="B408" s="53" t="s">
        <v>1177</v>
      </c>
      <c r="C408" s="17" t="s">
        <v>1339</v>
      </c>
      <c r="D408" s="17" t="s">
        <v>1339</v>
      </c>
      <c r="E408" s="17" t="s">
        <v>1271</v>
      </c>
      <c r="F408" s="39" t="s">
        <v>420</v>
      </c>
      <c r="G408" s="20">
        <v>4088</v>
      </c>
    </row>
    <row r="409" spans="1:11" ht="18.75" customHeight="1">
      <c r="A409" s="50" t="s">
        <v>1178</v>
      </c>
      <c r="B409" s="51" t="s">
        <v>1179</v>
      </c>
      <c r="C409" s="51"/>
      <c r="D409" s="51"/>
      <c r="E409" s="51"/>
      <c r="F409" s="51"/>
      <c r="G409" s="52">
        <f>G410+G445+G538</f>
        <v>684440.5</v>
      </c>
      <c r="K409" s="77"/>
    </row>
    <row r="410" spans="1:7" ht="15">
      <c r="A410" s="56" t="s">
        <v>119</v>
      </c>
      <c r="B410" s="53" t="s">
        <v>1179</v>
      </c>
      <c r="C410" s="17" t="s">
        <v>1338</v>
      </c>
      <c r="D410" s="39"/>
      <c r="E410" s="39"/>
      <c r="F410" s="39"/>
      <c r="G410" s="19">
        <f>G411+G424+G432</f>
        <v>132757.4</v>
      </c>
    </row>
    <row r="411" spans="1:7" ht="15">
      <c r="A411" s="31" t="s">
        <v>1357</v>
      </c>
      <c r="B411" s="53" t="s">
        <v>1179</v>
      </c>
      <c r="C411" s="17" t="s">
        <v>1338</v>
      </c>
      <c r="D411" s="17" t="s">
        <v>1154</v>
      </c>
      <c r="E411" s="17"/>
      <c r="F411" s="17"/>
      <c r="G411" s="19">
        <f>G412</f>
        <v>102847</v>
      </c>
    </row>
    <row r="412" spans="1:7" ht="24">
      <c r="A412" s="183" t="s">
        <v>33</v>
      </c>
      <c r="B412" s="53" t="s">
        <v>1179</v>
      </c>
      <c r="C412" s="172" t="s">
        <v>1338</v>
      </c>
      <c r="D412" s="17" t="s">
        <v>1154</v>
      </c>
      <c r="E412" s="172" t="s">
        <v>197</v>
      </c>
      <c r="F412" s="17"/>
      <c r="G412" s="19">
        <f>G413+G420</f>
        <v>102847</v>
      </c>
    </row>
    <row r="413" spans="1:7" ht="31.5" customHeight="1">
      <c r="A413" s="132" t="s">
        <v>198</v>
      </c>
      <c r="B413" s="53" t="s">
        <v>1179</v>
      </c>
      <c r="C413" s="172" t="s">
        <v>1338</v>
      </c>
      <c r="D413" s="17" t="s">
        <v>1154</v>
      </c>
      <c r="E413" s="172" t="s">
        <v>1063</v>
      </c>
      <c r="F413" s="17"/>
      <c r="G413" s="19">
        <f>G414+G417</f>
        <v>102822</v>
      </c>
    </row>
    <row r="414" spans="1:7" ht="68.25" customHeight="1">
      <c r="A414" s="132" t="s">
        <v>1396</v>
      </c>
      <c r="B414" s="53" t="s">
        <v>1179</v>
      </c>
      <c r="C414" s="172" t="s">
        <v>1338</v>
      </c>
      <c r="D414" s="17" t="s">
        <v>1154</v>
      </c>
      <c r="E414" s="172" t="s">
        <v>1244</v>
      </c>
      <c r="F414" s="17"/>
      <c r="G414" s="19">
        <f>G415</f>
        <v>3840</v>
      </c>
    </row>
    <row r="415" spans="1:7" ht="22.5" customHeight="1">
      <c r="A415" s="36" t="s">
        <v>459</v>
      </c>
      <c r="B415" s="53" t="s">
        <v>1179</v>
      </c>
      <c r="C415" s="172" t="s">
        <v>1338</v>
      </c>
      <c r="D415" s="17" t="s">
        <v>1154</v>
      </c>
      <c r="E415" s="172" t="s">
        <v>1244</v>
      </c>
      <c r="F415" s="17" t="s">
        <v>641</v>
      </c>
      <c r="G415" s="19">
        <f>G416</f>
        <v>3840</v>
      </c>
    </row>
    <row r="416" spans="1:7" ht="17.25" customHeight="1">
      <c r="A416" s="182" t="s">
        <v>418</v>
      </c>
      <c r="B416" s="53" t="s">
        <v>1179</v>
      </c>
      <c r="C416" s="172" t="s">
        <v>1338</v>
      </c>
      <c r="D416" s="17" t="s">
        <v>1154</v>
      </c>
      <c r="E416" s="172" t="s">
        <v>1244</v>
      </c>
      <c r="F416" s="17" t="s">
        <v>419</v>
      </c>
      <c r="G416" s="20">
        <v>3840</v>
      </c>
    </row>
    <row r="417" spans="1:7" ht="31.5" customHeight="1">
      <c r="A417" s="36" t="s">
        <v>459</v>
      </c>
      <c r="B417" s="53" t="s">
        <v>1179</v>
      </c>
      <c r="C417" s="17" t="s">
        <v>1338</v>
      </c>
      <c r="D417" s="17" t="s">
        <v>1154</v>
      </c>
      <c r="E417" s="172" t="s">
        <v>60</v>
      </c>
      <c r="F417" s="17" t="s">
        <v>641</v>
      </c>
      <c r="G417" s="19">
        <f>G418</f>
        <v>98982</v>
      </c>
    </row>
    <row r="418" spans="1:7" ht="20.25" customHeight="1">
      <c r="A418" s="182" t="s">
        <v>418</v>
      </c>
      <c r="B418" s="53" t="s">
        <v>1179</v>
      </c>
      <c r="C418" s="17" t="s">
        <v>1338</v>
      </c>
      <c r="D418" s="17" t="s">
        <v>1154</v>
      </c>
      <c r="E418" s="172" t="s">
        <v>60</v>
      </c>
      <c r="F418" s="17" t="s">
        <v>419</v>
      </c>
      <c r="G418" s="20">
        <f>92892+3560+3330-800</f>
        <v>98982</v>
      </c>
    </row>
    <row r="419" spans="1:7" ht="24" hidden="1">
      <c r="A419" s="18" t="s">
        <v>417</v>
      </c>
      <c r="B419" s="53" t="s">
        <v>1179</v>
      </c>
      <c r="C419" s="17" t="s">
        <v>1338</v>
      </c>
      <c r="D419" s="17" t="s">
        <v>1154</v>
      </c>
      <c r="E419" s="172" t="s">
        <v>60</v>
      </c>
      <c r="F419" s="17" t="s">
        <v>420</v>
      </c>
      <c r="G419" s="20">
        <v>92892</v>
      </c>
    </row>
    <row r="420" spans="1:7" ht="36">
      <c r="A420" s="18" t="s">
        <v>1351</v>
      </c>
      <c r="B420" s="53" t="s">
        <v>1179</v>
      </c>
      <c r="C420" s="17" t="s">
        <v>1338</v>
      </c>
      <c r="D420" s="17" t="s">
        <v>1154</v>
      </c>
      <c r="E420" s="172" t="s">
        <v>781</v>
      </c>
      <c r="F420" s="17"/>
      <c r="G420" s="19">
        <f>G421</f>
        <v>25</v>
      </c>
    </row>
    <row r="421" spans="1:7" ht="24">
      <c r="A421" s="36" t="s">
        <v>459</v>
      </c>
      <c r="B421" s="53" t="s">
        <v>1179</v>
      </c>
      <c r="C421" s="17" t="s">
        <v>1338</v>
      </c>
      <c r="D421" s="17" t="s">
        <v>1154</v>
      </c>
      <c r="E421" s="172" t="s">
        <v>774</v>
      </c>
      <c r="F421" s="17" t="s">
        <v>641</v>
      </c>
      <c r="G421" s="20">
        <f>G422</f>
        <v>25</v>
      </c>
    </row>
    <row r="422" spans="1:7" ht="24">
      <c r="A422" s="182" t="s">
        <v>460</v>
      </c>
      <c r="B422" s="53" t="s">
        <v>1179</v>
      </c>
      <c r="C422" s="17" t="s">
        <v>1338</v>
      </c>
      <c r="D422" s="17" t="s">
        <v>1154</v>
      </c>
      <c r="E422" s="172" t="s">
        <v>774</v>
      </c>
      <c r="F422" s="17" t="s">
        <v>419</v>
      </c>
      <c r="G422" s="20">
        <v>25</v>
      </c>
    </row>
    <row r="423" spans="1:7" ht="24">
      <c r="A423" s="182" t="s">
        <v>236</v>
      </c>
      <c r="B423" s="53" t="s">
        <v>1179</v>
      </c>
      <c r="C423" s="17" t="s">
        <v>1338</v>
      </c>
      <c r="D423" s="17" t="s">
        <v>1154</v>
      </c>
      <c r="E423" s="172" t="s">
        <v>774</v>
      </c>
      <c r="F423" s="17" t="s">
        <v>419</v>
      </c>
      <c r="G423" s="20">
        <v>25</v>
      </c>
    </row>
    <row r="424" spans="1:7" ht="48">
      <c r="A424" s="29" t="s">
        <v>116</v>
      </c>
      <c r="B424" s="53" t="s">
        <v>1179</v>
      </c>
      <c r="C424" s="17" t="s">
        <v>1338</v>
      </c>
      <c r="D424" s="17" t="s">
        <v>1338</v>
      </c>
      <c r="E424" s="17" t="s">
        <v>599</v>
      </c>
      <c r="F424" s="17"/>
      <c r="G424" s="19">
        <f>G425</f>
        <v>1334.4</v>
      </c>
    </row>
    <row r="425" spans="1:7" ht="24">
      <c r="A425" s="36" t="s">
        <v>459</v>
      </c>
      <c r="B425" s="53" t="s">
        <v>1179</v>
      </c>
      <c r="C425" s="17" t="s">
        <v>1338</v>
      </c>
      <c r="D425" s="17" t="s">
        <v>1338</v>
      </c>
      <c r="E425" s="17" t="s">
        <v>907</v>
      </c>
      <c r="F425" s="17" t="s">
        <v>641</v>
      </c>
      <c r="G425" s="19">
        <f>G426+G429</f>
        <v>1334.4</v>
      </c>
    </row>
    <row r="426" spans="1:7" ht="24">
      <c r="A426" s="18" t="s">
        <v>390</v>
      </c>
      <c r="B426" s="53" t="s">
        <v>1179</v>
      </c>
      <c r="C426" s="17" t="s">
        <v>1338</v>
      </c>
      <c r="D426" s="17" t="s">
        <v>1338</v>
      </c>
      <c r="E426" s="17" t="s">
        <v>907</v>
      </c>
      <c r="F426" s="17" t="s">
        <v>419</v>
      </c>
      <c r="G426" s="19">
        <f>G427</f>
        <v>934.4</v>
      </c>
    </row>
    <row r="427" spans="1:7" ht="24">
      <c r="A427" s="18" t="s">
        <v>1385</v>
      </c>
      <c r="B427" s="53" t="s">
        <v>1179</v>
      </c>
      <c r="C427" s="17" t="s">
        <v>1338</v>
      </c>
      <c r="D427" s="17" t="s">
        <v>1338</v>
      </c>
      <c r="E427" s="17" t="s">
        <v>907</v>
      </c>
      <c r="F427" s="17" t="s">
        <v>419</v>
      </c>
      <c r="G427" s="19">
        <f>G428</f>
        <v>934.4</v>
      </c>
    </row>
    <row r="428" spans="1:7" ht="24">
      <c r="A428" s="18" t="s">
        <v>1453</v>
      </c>
      <c r="B428" s="53" t="s">
        <v>1179</v>
      </c>
      <c r="C428" s="17" t="s">
        <v>1338</v>
      </c>
      <c r="D428" s="17" t="s">
        <v>1338</v>
      </c>
      <c r="E428" s="17" t="s">
        <v>907</v>
      </c>
      <c r="F428" s="17" t="s">
        <v>419</v>
      </c>
      <c r="G428" s="20">
        <f>534.4+400</f>
        <v>934.4</v>
      </c>
    </row>
    <row r="429" spans="1:7" ht="24">
      <c r="A429" s="18" t="s">
        <v>883</v>
      </c>
      <c r="B429" s="53" t="s">
        <v>1179</v>
      </c>
      <c r="C429" s="17" t="s">
        <v>1338</v>
      </c>
      <c r="D429" s="17" t="s">
        <v>1338</v>
      </c>
      <c r="E429" s="17" t="s">
        <v>907</v>
      </c>
      <c r="F429" s="17" t="s">
        <v>244</v>
      </c>
      <c r="G429" s="19">
        <f>G430</f>
        <v>400</v>
      </c>
    </row>
    <row r="430" spans="1:7" ht="24">
      <c r="A430" s="18" t="s">
        <v>1066</v>
      </c>
      <c r="B430" s="53" t="s">
        <v>1179</v>
      </c>
      <c r="C430" s="17" t="s">
        <v>1338</v>
      </c>
      <c r="D430" s="17" t="s">
        <v>1338</v>
      </c>
      <c r="E430" s="17" t="s">
        <v>907</v>
      </c>
      <c r="F430" s="17" t="s">
        <v>244</v>
      </c>
      <c r="G430" s="19">
        <f>G431</f>
        <v>400</v>
      </c>
    </row>
    <row r="431" spans="1:7" ht="24">
      <c r="A431" s="18" t="s">
        <v>37</v>
      </c>
      <c r="B431" s="53" t="s">
        <v>1179</v>
      </c>
      <c r="C431" s="17" t="s">
        <v>1338</v>
      </c>
      <c r="D431" s="17" t="s">
        <v>1338</v>
      </c>
      <c r="E431" s="17" t="s">
        <v>907</v>
      </c>
      <c r="F431" s="17" t="s">
        <v>244</v>
      </c>
      <c r="G431" s="20">
        <f>200.1+120.5+79.4</f>
        <v>400</v>
      </c>
    </row>
    <row r="432" spans="1:7" ht="15">
      <c r="A432" s="31" t="s">
        <v>1356</v>
      </c>
      <c r="B432" s="53" t="s">
        <v>1179</v>
      </c>
      <c r="C432" s="17" t="s">
        <v>1338</v>
      </c>
      <c r="D432" s="17" t="s">
        <v>1338</v>
      </c>
      <c r="E432" s="17"/>
      <c r="F432" s="17"/>
      <c r="G432" s="19">
        <f>G433+G442</f>
        <v>28576</v>
      </c>
    </row>
    <row r="433" spans="1:7" ht="22.5" customHeight="1">
      <c r="A433" s="33" t="s">
        <v>871</v>
      </c>
      <c r="B433" s="53" t="s">
        <v>1179</v>
      </c>
      <c r="C433" s="17" t="s">
        <v>1338</v>
      </c>
      <c r="D433" s="17" t="s">
        <v>1338</v>
      </c>
      <c r="E433" s="17" t="s">
        <v>54</v>
      </c>
      <c r="F433" s="17"/>
      <c r="G433" s="19">
        <f>G434</f>
        <v>27876</v>
      </c>
    </row>
    <row r="434" spans="1:7" ht="24.75" customHeight="1">
      <c r="A434" s="18" t="s">
        <v>53</v>
      </c>
      <c r="B434" s="53" t="s">
        <v>1179</v>
      </c>
      <c r="C434" s="17" t="s">
        <v>1338</v>
      </c>
      <c r="D434" s="17" t="s">
        <v>1338</v>
      </c>
      <c r="E434" s="17" t="s">
        <v>55</v>
      </c>
      <c r="F434" s="17"/>
      <c r="G434" s="19">
        <f>G435</f>
        <v>27876</v>
      </c>
    </row>
    <row r="435" spans="1:7" ht="24.75" customHeight="1">
      <c r="A435" s="36" t="s">
        <v>459</v>
      </c>
      <c r="B435" s="53" t="s">
        <v>1179</v>
      </c>
      <c r="C435" s="17" t="s">
        <v>1338</v>
      </c>
      <c r="D435" s="17" t="s">
        <v>1338</v>
      </c>
      <c r="E435" s="17" t="s">
        <v>56</v>
      </c>
      <c r="F435" s="17" t="s">
        <v>641</v>
      </c>
      <c r="G435" s="19">
        <f>G436</f>
        <v>27876</v>
      </c>
    </row>
    <row r="436" spans="1:7" ht="24">
      <c r="A436" s="18" t="s">
        <v>390</v>
      </c>
      <c r="B436" s="53" t="s">
        <v>1179</v>
      </c>
      <c r="C436" s="17" t="s">
        <v>1338</v>
      </c>
      <c r="D436" s="17" t="s">
        <v>1338</v>
      </c>
      <c r="E436" s="17" t="s">
        <v>56</v>
      </c>
      <c r="F436" s="17" t="s">
        <v>419</v>
      </c>
      <c r="G436" s="20">
        <f>29383+2083.9-2083.9+275+18-1450+150-500</f>
        <v>27876</v>
      </c>
    </row>
    <row r="437" spans="1:17" s="68" customFormat="1" ht="27.75" customHeight="1" hidden="1">
      <c r="A437" s="18" t="s">
        <v>417</v>
      </c>
      <c r="B437" s="53" t="s">
        <v>1179</v>
      </c>
      <c r="C437" s="17" t="s">
        <v>1338</v>
      </c>
      <c r="D437" s="17" t="s">
        <v>1338</v>
      </c>
      <c r="E437" s="17" t="s">
        <v>56</v>
      </c>
      <c r="F437" s="17" t="s">
        <v>420</v>
      </c>
      <c r="G437" s="20">
        <v>26583</v>
      </c>
      <c r="J437" s="86"/>
      <c r="K437" s="86"/>
      <c r="L437" s="86"/>
      <c r="M437" s="86"/>
      <c r="N437" s="86"/>
      <c r="O437" s="86"/>
      <c r="P437" s="86"/>
      <c r="Q437" s="86"/>
    </row>
    <row r="438" spans="1:17" s="68" customFormat="1" ht="18.75" customHeight="1" hidden="1">
      <c r="A438" s="18" t="s">
        <v>1385</v>
      </c>
      <c r="B438" s="53" t="s">
        <v>1179</v>
      </c>
      <c r="C438" s="17" t="s">
        <v>1338</v>
      </c>
      <c r="D438" s="17" t="s">
        <v>1338</v>
      </c>
      <c r="E438" s="17" t="s">
        <v>56</v>
      </c>
      <c r="F438" s="17" t="s">
        <v>88</v>
      </c>
      <c r="G438" s="19">
        <f>G439</f>
        <v>3075</v>
      </c>
      <c r="J438" s="86"/>
      <c r="K438" s="86"/>
      <c r="L438" s="86"/>
      <c r="M438" s="86"/>
      <c r="N438" s="86"/>
      <c r="O438" s="86"/>
      <c r="P438" s="86"/>
      <c r="Q438" s="86"/>
    </row>
    <row r="439" spans="1:7" ht="26.25" customHeight="1">
      <c r="A439" s="18" t="s">
        <v>1170</v>
      </c>
      <c r="B439" s="53" t="s">
        <v>1179</v>
      </c>
      <c r="C439" s="17" t="s">
        <v>1338</v>
      </c>
      <c r="D439" s="17" t="s">
        <v>1338</v>
      </c>
      <c r="E439" s="17" t="s">
        <v>56</v>
      </c>
      <c r="F439" s="17" t="s">
        <v>419</v>
      </c>
      <c r="G439" s="20">
        <f>2800+275</f>
        <v>3075</v>
      </c>
    </row>
    <row r="440" spans="1:7" ht="26.25" customHeight="1">
      <c r="A440" s="18" t="s">
        <v>236</v>
      </c>
      <c r="B440" s="53" t="s">
        <v>1179</v>
      </c>
      <c r="C440" s="17" t="s">
        <v>1338</v>
      </c>
      <c r="D440" s="17" t="s">
        <v>1338</v>
      </c>
      <c r="E440" s="17" t="s">
        <v>56</v>
      </c>
      <c r="F440" s="17" t="s">
        <v>419</v>
      </c>
      <c r="G440" s="20">
        <f>18+8</f>
        <v>26</v>
      </c>
    </row>
    <row r="441" spans="1:7" ht="17.25" customHeight="1">
      <c r="A441" s="18" t="s">
        <v>413</v>
      </c>
      <c r="B441" s="53" t="s">
        <v>1179</v>
      </c>
      <c r="C441" s="17" t="s">
        <v>1338</v>
      </c>
      <c r="D441" s="17" t="s">
        <v>1338</v>
      </c>
      <c r="E441" s="17" t="s">
        <v>56</v>
      </c>
      <c r="F441" s="17" t="s">
        <v>419</v>
      </c>
      <c r="G441" s="20">
        <v>150</v>
      </c>
    </row>
    <row r="442" spans="1:7" ht="49.5" customHeight="1">
      <c r="A442" s="18" t="s">
        <v>609</v>
      </c>
      <c r="B442" s="53" t="s">
        <v>1179</v>
      </c>
      <c r="C442" s="17" t="s">
        <v>1338</v>
      </c>
      <c r="D442" s="17" t="s">
        <v>1338</v>
      </c>
      <c r="E442" s="17" t="s">
        <v>1227</v>
      </c>
      <c r="F442" s="17" t="s">
        <v>1204</v>
      </c>
      <c r="G442" s="19">
        <f>G443</f>
        <v>700</v>
      </c>
    </row>
    <row r="443" spans="1:7" ht="26.25" customHeight="1">
      <c r="A443" s="36" t="s">
        <v>459</v>
      </c>
      <c r="B443" s="53" t="s">
        <v>1179</v>
      </c>
      <c r="C443" s="17" t="s">
        <v>1338</v>
      </c>
      <c r="D443" s="17" t="s">
        <v>1338</v>
      </c>
      <c r="E443" s="17" t="s">
        <v>1227</v>
      </c>
      <c r="F443" s="17" t="s">
        <v>641</v>
      </c>
      <c r="G443" s="19">
        <f>G444</f>
        <v>700</v>
      </c>
    </row>
    <row r="444" spans="1:7" ht="18.75" customHeight="1">
      <c r="A444" s="18" t="s">
        <v>418</v>
      </c>
      <c r="B444" s="53" t="s">
        <v>1179</v>
      </c>
      <c r="C444" s="17" t="s">
        <v>1338</v>
      </c>
      <c r="D444" s="17" t="s">
        <v>1338</v>
      </c>
      <c r="E444" s="17" t="s">
        <v>1227</v>
      </c>
      <c r="F444" s="17" t="s">
        <v>419</v>
      </c>
      <c r="G444" s="20">
        <v>700</v>
      </c>
    </row>
    <row r="445" spans="1:7" ht="15">
      <c r="A445" s="56" t="s">
        <v>1360</v>
      </c>
      <c r="B445" s="53" t="s">
        <v>1179</v>
      </c>
      <c r="C445" s="17" t="s">
        <v>806</v>
      </c>
      <c r="D445" s="17"/>
      <c r="E445" s="17"/>
      <c r="F445" s="17"/>
      <c r="G445" s="19">
        <f>G446+G500</f>
        <v>384828.69999999995</v>
      </c>
    </row>
    <row r="446" spans="1:7" ht="15">
      <c r="A446" s="31" t="s">
        <v>389</v>
      </c>
      <c r="B446" s="53" t="s">
        <v>1179</v>
      </c>
      <c r="C446" s="17" t="s">
        <v>806</v>
      </c>
      <c r="D446" s="17" t="s">
        <v>184</v>
      </c>
      <c r="E446" s="17"/>
      <c r="F446" s="17"/>
      <c r="G446" s="19">
        <f>G447</f>
        <v>277361.69999999995</v>
      </c>
    </row>
    <row r="447" spans="1:7" ht="24">
      <c r="A447" s="183" t="s">
        <v>33</v>
      </c>
      <c r="B447" s="53" t="s">
        <v>1179</v>
      </c>
      <c r="C447" s="17" t="s">
        <v>806</v>
      </c>
      <c r="D447" s="17" t="s">
        <v>184</v>
      </c>
      <c r="E447" s="17" t="s">
        <v>197</v>
      </c>
      <c r="F447" s="17"/>
      <c r="G447" s="19">
        <f>G448+G452+G456+G459+G466+G475+G478+G497+G482</f>
        <v>277361.69999999995</v>
      </c>
    </row>
    <row r="448" spans="1:7" ht="60">
      <c r="A448" s="288" t="s">
        <v>1134</v>
      </c>
      <c r="B448" s="53" t="s">
        <v>1179</v>
      </c>
      <c r="C448" s="17" t="s">
        <v>806</v>
      </c>
      <c r="D448" s="17" t="s">
        <v>184</v>
      </c>
      <c r="E448" s="17" t="s">
        <v>1246</v>
      </c>
      <c r="F448" s="17"/>
      <c r="G448" s="19">
        <f>G449</f>
        <v>6260</v>
      </c>
    </row>
    <row r="449" spans="1:7" ht="24">
      <c r="A449" s="36" t="s">
        <v>459</v>
      </c>
      <c r="B449" s="53" t="s">
        <v>1179</v>
      </c>
      <c r="C449" s="17" t="s">
        <v>806</v>
      </c>
      <c r="D449" s="17" t="s">
        <v>184</v>
      </c>
      <c r="E449" s="17" t="s">
        <v>1246</v>
      </c>
      <c r="F449" s="17" t="s">
        <v>641</v>
      </c>
      <c r="G449" s="19">
        <f>G450+G451</f>
        <v>6260</v>
      </c>
    </row>
    <row r="450" spans="1:7" ht="24">
      <c r="A450" s="18" t="s">
        <v>418</v>
      </c>
      <c r="B450" s="53" t="s">
        <v>1179</v>
      </c>
      <c r="C450" s="17" t="s">
        <v>806</v>
      </c>
      <c r="D450" s="17" t="s">
        <v>184</v>
      </c>
      <c r="E450" s="17" t="s">
        <v>1246</v>
      </c>
      <c r="F450" s="17" t="s">
        <v>419</v>
      </c>
      <c r="G450" s="20">
        <v>5740</v>
      </c>
    </row>
    <row r="451" spans="1:7" ht="24">
      <c r="A451" s="18" t="s">
        <v>243</v>
      </c>
      <c r="B451" s="53" t="s">
        <v>1179</v>
      </c>
      <c r="C451" s="17" t="s">
        <v>806</v>
      </c>
      <c r="D451" s="17" t="s">
        <v>184</v>
      </c>
      <c r="E451" s="17" t="s">
        <v>1246</v>
      </c>
      <c r="F451" s="17" t="s">
        <v>244</v>
      </c>
      <c r="G451" s="20">
        <v>520</v>
      </c>
    </row>
    <row r="452" spans="1:7" ht="24">
      <c r="A452" s="36" t="s">
        <v>589</v>
      </c>
      <c r="B452" s="53" t="s">
        <v>1179</v>
      </c>
      <c r="C452" s="17" t="s">
        <v>806</v>
      </c>
      <c r="D452" s="17" t="s">
        <v>184</v>
      </c>
      <c r="E452" s="17" t="s">
        <v>299</v>
      </c>
      <c r="F452" s="17" t="s">
        <v>641</v>
      </c>
      <c r="G452" s="19">
        <f>G453</f>
        <v>175962.99999999997</v>
      </c>
    </row>
    <row r="453" spans="1:7" ht="24">
      <c r="A453" s="18" t="s">
        <v>460</v>
      </c>
      <c r="B453" s="53" t="s">
        <v>1179</v>
      </c>
      <c r="C453" s="17" t="s">
        <v>806</v>
      </c>
      <c r="D453" s="17" t="s">
        <v>184</v>
      </c>
      <c r="E453" s="17" t="s">
        <v>299</v>
      </c>
      <c r="F453" s="17" t="s">
        <v>419</v>
      </c>
      <c r="G453" s="20">
        <f>169248+5485+209.1+156.3+195.8+160.4+399.9+955+0.1-2076.6+10-170+90+1300</f>
        <v>175962.99999999997</v>
      </c>
    </row>
    <row r="454" spans="1:7" ht="24" hidden="1">
      <c r="A454" s="18" t="s">
        <v>1307</v>
      </c>
      <c r="B454" s="53" t="s">
        <v>1179</v>
      </c>
      <c r="C454" s="17" t="s">
        <v>806</v>
      </c>
      <c r="D454" s="17" t="s">
        <v>184</v>
      </c>
      <c r="E454" s="17" t="s">
        <v>299</v>
      </c>
      <c r="F454" s="17" t="s">
        <v>420</v>
      </c>
      <c r="G454" s="20"/>
    </row>
    <row r="455" spans="1:7" ht="24" hidden="1">
      <c r="A455" s="18" t="s">
        <v>824</v>
      </c>
      <c r="B455" s="53" t="s">
        <v>1179</v>
      </c>
      <c r="C455" s="17" t="s">
        <v>806</v>
      </c>
      <c r="D455" s="17" t="s">
        <v>184</v>
      </c>
      <c r="E455" s="17" t="s">
        <v>299</v>
      </c>
      <c r="F455" s="17" t="s">
        <v>419</v>
      </c>
      <c r="G455" s="20">
        <f>209.1+156.3+195.8+160.4+399.9+955+0.1-2076.6</f>
        <v>0</v>
      </c>
    </row>
    <row r="456" spans="1:7" ht="24">
      <c r="A456" s="36" t="s">
        <v>589</v>
      </c>
      <c r="B456" s="53" t="s">
        <v>1179</v>
      </c>
      <c r="C456" s="17" t="s">
        <v>806</v>
      </c>
      <c r="D456" s="17" t="s">
        <v>184</v>
      </c>
      <c r="E456" s="17" t="s">
        <v>541</v>
      </c>
      <c r="F456" s="17" t="s">
        <v>641</v>
      </c>
      <c r="G456" s="19">
        <f>G457</f>
        <v>3714</v>
      </c>
    </row>
    <row r="457" spans="1:7" ht="24">
      <c r="A457" s="18" t="s">
        <v>418</v>
      </c>
      <c r="B457" s="53" t="s">
        <v>1179</v>
      </c>
      <c r="C457" s="17" t="s">
        <v>806</v>
      </c>
      <c r="D457" s="17" t="s">
        <v>184</v>
      </c>
      <c r="E457" s="17" t="s">
        <v>541</v>
      </c>
      <c r="F457" s="17" t="s">
        <v>419</v>
      </c>
      <c r="G457" s="20">
        <f>3644+140-70</f>
        <v>3714</v>
      </c>
    </row>
    <row r="458" spans="1:7" ht="24" hidden="1">
      <c r="A458" s="18" t="s">
        <v>417</v>
      </c>
      <c r="B458" s="53" t="s">
        <v>1179</v>
      </c>
      <c r="C458" s="17" t="s">
        <v>806</v>
      </c>
      <c r="D458" s="17" t="s">
        <v>184</v>
      </c>
      <c r="E458" s="17" t="s">
        <v>541</v>
      </c>
      <c r="F458" s="17" t="s">
        <v>420</v>
      </c>
      <c r="G458" s="20">
        <v>3644</v>
      </c>
    </row>
    <row r="459" spans="1:7" ht="24">
      <c r="A459" s="36" t="s">
        <v>459</v>
      </c>
      <c r="B459" s="53" t="s">
        <v>1179</v>
      </c>
      <c r="C459" s="17" t="s">
        <v>806</v>
      </c>
      <c r="D459" s="17" t="s">
        <v>184</v>
      </c>
      <c r="E459" s="17" t="s">
        <v>542</v>
      </c>
      <c r="F459" s="17" t="s">
        <v>641</v>
      </c>
      <c r="G459" s="19">
        <f>G460+G464</f>
        <v>10224.5</v>
      </c>
    </row>
    <row r="460" spans="1:7" ht="24">
      <c r="A460" s="18" t="s">
        <v>390</v>
      </c>
      <c r="B460" s="53" t="s">
        <v>1179</v>
      </c>
      <c r="C460" s="17" t="s">
        <v>806</v>
      </c>
      <c r="D460" s="17" t="s">
        <v>184</v>
      </c>
      <c r="E460" s="17" t="s">
        <v>542</v>
      </c>
      <c r="F460" s="17" t="s">
        <v>419</v>
      </c>
      <c r="G460" s="19">
        <f>G462</f>
        <v>8478</v>
      </c>
    </row>
    <row r="461" spans="1:7" ht="15" hidden="1">
      <c r="A461" s="18" t="s">
        <v>235</v>
      </c>
      <c r="B461" s="53" t="s">
        <v>1179</v>
      </c>
      <c r="C461" s="17" t="s">
        <v>806</v>
      </c>
      <c r="D461" s="17" t="s">
        <v>184</v>
      </c>
      <c r="E461" s="17" t="s">
        <v>542</v>
      </c>
      <c r="F461" s="17" t="s">
        <v>88</v>
      </c>
      <c r="G461" s="19">
        <f>G462+G463</f>
        <v>8478</v>
      </c>
    </row>
    <row r="462" spans="1:7" ht="24">
      <c r="A462" s="18" t="s">
        <v>1118</v>
      </c>
      <c r="B462" s="53" t="s">
        <v>1179</v>
      </c>
      <c r="C462" s="17" t="s">
        <v>806</v>
      </c>
      <c r="D462" s="17" t="s">
        <v>184</v>
      </c>
      <c r="E462" s="17" t="s">
        <v>542</v>
      </c>
      <c r="F462" s="17" t="s">
        <v>419</v>
      </c>
      <c r="G462" s="20">
        <f>5000-580+800+1338+350+1450+120</f>
        <v>8478</v>
      </c>
    </row>
    <row r="463" spans="1:7" ht="15" hidden="1">
      <c r="A463" s="161" t="s">
        <v>217</v>
      </c>
      <c r="B463" s="53" t="s">
        <v>1179</v>
      </c>
      <c r="C463" s="17" t="s">
        <v>806</v>
      </c>
      <c r="D463" s="17" t="s">
        <v>184</v>
      </c>
      <c r="E463" s="17" t="s">
        <v>1152</v>
      </c>
      <c r="F463" s="17" t="s">
        <v>88</v>
      </c>
      <c r="G463" s="20"/>
    </row>
    <row r="464" spans="1:7" ht="24">
      <c r="A464" s="18" t="s">
        <v>883</v>
      </c>
      <c r="B464" s="53" t="s">
        <v>1179</v>
      </c>
      <c r="C464" s="17" t="s">
        <v>806</v>
      </c>
      <c r="D464" s="17" t="s">
        <v>184</v>
      </c>
      <c r="E464" s="17" t="s">
        <v>542</v>
      </c>
      <c r="F464" s="17" t="s">
        <v>244</v>
      </c>
      <c r="G464" s="19">
        <f>G465</f>
        <v>1746.5</v>
      </c>
    </row>
    <row r="465" spans="1:7" ht="24">
      <c r="A465" s="18" t="s">
        <v>1118</v>
      </c>
      <c r="B465" s="53" t="s">
        <v>1179</v>
      </c>
      <c r="C465" s="17" t="s">
        <v>806</v>
      </c>
      <c r="D465" s="17" t="s">
        <v>184</v>
      </c>
      <c r="E465" s="17" t="s">
        <v>542</v>
      </c>
      <c r="F465" s="17" t="s">
        <v>244</v>
      </c>
      <c r="G465" s="20">
        <f>580+451+162-162+715.5</f>
        <v>1746.5</v>
      </c>
    </row>
    <row r="466" spans="1:7" ht="24">
      <c r="A466" s="36" t="s">
        <v>459</v>
      </c>
      <c r="B466" s="53" t="s">
        <v>1179</v>
      </c>
      <c r="C466" s="17" t="s">
        <v>806</v>
      </c>
      <c r="D466" s="17" t="s">
        <v>184</v>
      </c>
      <c r="E466" s="17" t="s">
        <v>299</v>
      </c>
      <c r="F466" s="17" t="s">
        <v>641</v>
      </c>
      <c r="G466" s="19">
        <f>G467</f>
        <v>32820.4</v>
      </c>
    </row>
    <row r="467" spans="1:7" ht="24">
      <c r="A467" s="18" t="s">
        <v>883</v>
      </c>
      <c r="B467" s="53" t="s">
        <v>1179</v>
      </c>
      <c r="C467" s="17" t="s">
        <v>806</v>
      </c>
      <c r="D467" s="17" t="s">
        <v>184</v>
      </c>
      <c r="E467" s="17" t="s">
        <v>299</v>
      </c>
      <c r="F467" s="17" t="s">
        <v>244</v>
      </c>
      <c r="G467" s="20">
        <f>23484+152.3+65.3+380+1450+816.7+1437+1000+162+1800+48+572.8+1452.3</f>
        <v>32820.4</v>
      </c>
    </row>
    <row r="468" spans="1:7" ht="24">
      <c r="A468" s="18" t="s">
        <v>103</v>
      </c>
      <c r="B468" s="53" t="s">
        <v>1179</v>
      </c>
      <c r="C468" s="17" t="s">
        <v>806</v>
      </c>
      <c r="D468" s="17" t="s">
        <v>184</v>
      </c>
      <c r="E468" s="17" t="s">
        <v>299</v>
      </c>
      <c r="F468" s="17" t="s">
        <v>244</v>
      </c>
      <c r="G468" s="20">
        <v>152.3</v>
      </c>
    </row>
    <row r="469" spans="1:7" ht="24">
      <c r="A469" s="18" t="s">
        <v>102</v>
      </c>
      <c r="B469" s="53" t="s">
        <v>1179</v>
      </c>
      <c r="C469" s="17" t="s">
        <v>806</v>
      </c>
      <c r="D469" s="17" t="s">
        <v>184</v>
      </c>
      <c r="E469" s="17" t="s">
        <v>299</v>
      </c>
      <c r="F469" s="17" t="s">
        <v>244</v>
      </c>
      <c r="G469" s="20">
        <v>1450</v>
      </c>
    </row>
    <row r="470" spans="1:7" ht="24">
      <c r="A470" s="18" t="s">
        <v>101</v>
      </c>
      <c r="B470" s="53" t="s">
        <v>1179</v>
      </c>
      <c r="C470" s="17" t="s">
        <v>806</v>
      </c>
      <c r="D470" s="17" t="s">
        <v>184</v>
      </c>
      <c r="E470" s="17" t="s">
        <v>299</v>
      </c>
      <c r="F470" s="17" t="s">
        <v>244</v>
      </c>
      <c r="G470" s="20">
        <v>1437</v>
      </c>
    </row>
    <row r="471" spans="1:7" ht="24">
      <c r="A471" s="18" t="s">
        <v>100</v>
      </c>
      <c r="B471" s="53" t="s">
        <v>1179</v>
      </c>
      <c r="C471" s="17" t="s">
        <v>806</v>
      </c>
      <c r="D471" s="17" t="s">
        <v>184</v>
      </c>
      <c r="E471" s="17" t="s">
        <v>299</v>
      </c>
      <c r="F471" s="17" t="s">
        <v>244</v>
      </c>
      <c r="G471" s="20">
        <f>1000+1800</f>
        <v>2800</v>
      </c>
    </row>
    <row r="472" spans="1:7" ht="24">
      <c r="A472" s="18" t="s">
        <v>99</v>
      </c>
      <c r="B472" s="53" t="s">
        <v>1179</v>
      </c>
      <c r="C472" s="17" t="s">
        <v>806</v>
      </c>
      <c r="D472" s="17" t="s">
        <v>184</v>
      </c>
      <c r="E472" s="17" t="s">
        <v>299</v>
      </c>
      <c r="F472" s="17" t="s">
        <v>244</v>
      </c>
      <c r="G472" s="20">
        <v>162</v>
      </c>
    </row>
    <row r="473" spans="1:7" ht="24">
      <c r="A473" s="18" t="s">
        <v>104</v>
      </c>
      <c r="B473" s="53" t="s">
        <v>1179</v>
      </c>
      <c r="C473" s="17" t="s">
        <v>806</v>
      </c>
      <c r="D473" s="17" t="s">
        <v>184</v>
      </c>
      <c r="E473" s="17" t="s">
        <v>299</v>
      </c>
      <c r="F473" s="17" t="s">
        <v>244</v>
      </c>
      <c r="G473" s="20">
        <f>48+98.4</f>
        <v>146.4</v>
      </c>
    </row>
    <row r="474" spans="1:7" ht="24">
      <c r="A474" s="18" t="s">
        <v>105</v>
      </c>
      <c r="B474" s="53" t="s">
        <v>1179</v>
      </c>
      <c r="C474" s="17" t="s">
        <v>806</v>
      </c>
      <c r="D474" s="17" t="s">
        <v>184</v>
      </c>
      <c r="E474" s="17" t="s">
        <v>299</v>
      </c>
      <c r="F474" s="17" t="s">
        <v>244</v>
      </c>
      <c r="G474" s="20">
        <f>572.8-98.4</f>
        <v>474.4</v>
      </c>
    </row>
    <row r="475" spans="1:7" ht="60">
      <c r="A475" s="36" t="s">
        <v>1397</v>
      </c>
      <c r="B475" s="53" t="s">
        <v>1179</v>
      </c>
      <c r="C475" s="17" t="s">
        <v>806</v>
      </c>
      <c r="D475" s="17" t="s">
        <v>184</v>
      </c>
      <c r="E475" s="17" t="s">
        <v>1247</v>
      </c>
      <c r="F475" s="17"/>
      <c r="G475" s="19">
        <f>G476</f>
        <v>1820</v>
      </c>
    </row>
    <row r="476" spans="1:7" ht="24">
      <c r="A476" s="36" t="s">
        <v>459</v>
      </c>
      <c r="B476" s="53" t="s">
        <v>1179</v>
      </c>
      <c r="C476" s="17" t="s">
        <v>806</v>
      </c>
      <c r="D476" s="17" t="s">
        <v>184</v>
      </c>
      <c r="E476" s="17" t="s">
        <v>1247</v>
      </c>
      <c r="F476" s="17" t="s">
        <v>641</v>
      </c>
      <c r="G476" s="19">
        <f>G477</f>
        <v>1820</v>
      </c>
    </row>
    <row r="477" spans="1:7" ht="24">
      <c r="A477" s="18" t="s">
        <v>418</v>
      </c>
      <c r="B477" s="53" t="s">
        <v>1179</v>
      </c>
      <c r="C477" s="17" t="s">
        <v>806</v>
      </c>
      <c r="D477" s="17" t="s">
        <v>184</v>
      </c>
      <c r="E477" s="17" t="s">
        <v>1247</v>
      </c>
      <c r="F477" s="17" t="s">
        <v>419</v>
      </c>
      <c r="G477" s="20">
        <v>1820</v>
      </c>
    </row>
    <row r="478" spans="1:7" ht="24">
      <c r="A478" s="36" t="s">
        <v>1297</v>
      </c>
      <c r="B478" s="53" t="s">
        <v>1179</v>
      </c>
      <c r="C478" s="17" t="s">
        <v>806</v>
      </c>
      <c r="D478" s="17" t="s">
        <v>184</v>
      </c>
      <c r="E478" s="17" t="s">
        <v>1298</v>
      </c>
      <c r="F478" s="17"/>
      <c r="G478" s="19">
        <f>G479</f>
        <v>41407</v>
      </c>
    </row>
    <row r="479" spans="1:7" ht="24">
      <c r="A479" s="36" t="s">
        <v>459</v>
      </c>
      <c r="B479" s="53" t="s">
        <v>1179</v>
      </c>
      <c r="C479" s="17" t="s">
        <v>806</v>
      </c>
      <c r="D479" s="17" t="s">
        <v>184</v>
      </c>
      <c r="E479" s="17" t="s">
        <v>1062</v>
      </c>
      <c r="F479" s="17" t="s">
        <v>641</v>
      </c>
      <c r="G479" s="19">
        <f>G480</f>
        <v>41407</v>
      </c>
    </row>
    <row r="480" spans="1:7" ht="24">
      <c r="A480" s="18" t="s">
        <v>460</v>
      </c>
      <c r="B480" s="53" t="s">
        <v>1179</v>
      </c>
      <c r="C480" s="17" t="s">
        <v>806</v>
      </c>
      <c r="D480" s="17" t="s">
        <v>184</v>
      </c>
      <c r="E480" s="17" t="s">
        <v>1062</v>
      </c>
      <c r="F480" s="17" t="s">
        <v>419</v>
      </c>
      <c r="G480" s="20">
        <f>41447+1660-1700</f>
        <v>41407</v>
      </c>
    </row>
    <row r="481" spans="1:7" ht="24">
      <c r="A481" s="18" t="s">
        <v>95</v>
      </c>
      <c r="B481" s="53" t="s">
        <v>1179</v>
      </c>
      <c r="C481" s="17" t="s">
        <v>806</v>
      </c>
      <c r="D481" s="17" t="s">
        <v>184</v>
      </c>
      <c r="E481" s="17" t="s">
        <v>1062</v>
      </c>
      <c r="F481" s="17" t="s">
        <v>419</v>
      </c>
      <c r="G481" s="20">
        <v>140</v>
      </c>
    </row>
    <row r="482" spans="1:7" ht="36">
      <c r="A482" s="18" t="s">
        <v>1351</v>
      </c>
      <c r="B482" s="53" t="s">
        <v>1179</v>
      </c>
      <c r="C482" s="17" t="s">
        <v>806</v>
      </c>
      <c r="D482" s="17" t="s">
        <v>184</v>
      </c>
      <c r="E482" s="17" t="s">
        <v>781</v>
      </c>
      <c r="F482" s="17" t="s">
        <v>1204</v>
      </c>
      <c r="G482" s="19">
        <f>G486+G483+G491+G494</f>
        <v>3752.8</v>
      </c>
    </row>
    <row r="483" spans="1:7" ht="24">
      <c r="A483" s="36" t="s">
        <v>270</v>
      </c>
      <c r="B483" s="53" t="s">
        <v>1179</v>
      </c>
      <c r="C483" s="17" t="s">
        <v>806</v>
      </c>
      <c r="D483" s="17" t="s">
        <v>184</v>
      </c>
      <c r="E483" s="17" t="s">
        <v>1352</v>
      </c>
      <c r="F483" s="17" t="s">
        <v>312</v>
      </c>
      <c r="G483" s="19">
        <f>G484</f>
        <v>939.2</v>
      </c>
    </row>
    <row r="484" spans="1:7" ht="36">
      <c r="A484" s="36" t="s">
        <v>1005</v>
      </c>
      <c r="B484" s="53" t="s">
        <v>1179</v>
      </c>
      <c r="C484" s="17" t="s">
        <v>806</v>
      </c>
      <c r="D484" s="17" t="s">
        <v>184</v>
      </c>
      <c r="E484" s="17" t="s">
        <v>1352</v>
      </c>
      <c r="F484" s="17" t="s">
        <v>1174</v>
      </c>
      <c r="G484" s="19">
        <f>G485</f>
        <v>939.2</v>
      </c>
    </row>
    <row r="485" spans="1:7" ht="36">
      <c r="A485" s="18" t="s">
        <v>108</v>
      </c>
      <c r="B485" s="53" t="s">
        <v>1179</v>
      </c>
      <c r="C485" s="17" t="s">
        <v>806</v>
      </c>
      <c r="D485" s="17" t="s">
        <v>184</v>
      </c>
      <c r="E485" s="17" t="s">
        <v>1352</v>
      </c>
      <c r="F485" s="17" t="s">
        <v>1174</v>
      </c>
      <c r="G485" s="20">
        <f>1470-620.8+90</f>
        <v>939.2</v>
      </c>
    </row>
    <row r="486" spans="1:7" ht="24">
      <c r="A486" s="36" t="s">
        <v>459</v>
      </c>
      <c r="B486" s="53" t="s">
        <v>1179</v>
      </c>
      <c r="C486" s="17" t="s">
        <v>806</v>
      </c>
      <c r="D486" s="17" t="s">
        <v>184</v>
      </c>
      <c r="E486" s="17" t="s">
        <v>1352</v>
      </c>
      <c r="F486" s="17" t="s">
        <v>641</v>
      </c>
      <c r="G486" s="19">
        <f>G487</f>
        <v>2685.6</v>
      </c>
    </row>
    <row r="487" spans="1:7" ht="24">
      <c r="A487" s="18" t="s">
        <v>390</v>
      </c>
      <c r="B487" s="53" t="s">
        <v>1179</v>
      </c>
      <c r="C487" s="17" t="s">
        <v>806</v>
      </c>
      <c r="D487" s="17" t="s">
        <v>184</v>
      </c>
      <c r="E487" s="17" t="s">
        <v>1352</v>
      </c>
      <c r="F487" s="17" t="s">
        <v>419</v>
      </c>
      <c r="G487" s="19">
        <f>G488+G489+G490</f>
        <v>2685.6</v>
      </c>
    </row>
    <row r="488" spans="1:7" ht="24">
      <c r="A488" s="18" t="s">
        <v>824</v>
      </c>
      <c r="B488" s="53" t="s">
        <v>1179</v>
      </c>
      <c r="C488" s="17" t="s">
        <v>806</v>
      </c>
      <c r="D488" s="17" t="s">
        <v>184</v>
      </c>
      <c r="E488" s="17" t="s">
        <v>1352</v>
      </c>
      <c r="F488" s="17" t="s">
        <v>419</v>
      </c>
      <c r="G488" s="20">
        <f>209.1+156.3+195.8+160.4+399.9+955+0.1</f>
        <v>2076.6</v>
      </c>
    </row>
    <row r="489" spans="1:7" ht="24">
      <c r="A489" s="190" t="s">
        <v>900</v>
      </c>
      <c r="B489" s="53" t="s">
        <v>1179</v>
      </c>
      <c r="C489" s="17" t="s">
        <v>806</v>
      </c>
      <c r="D489" s="17" t="s">
        <v>184</v>
      </c>
      <c r="E489" s="17" t="s">
        <v>899</v>
      </c>
      <c r="F489" s="17" t="s">
        <v>419</v>
      </c>
      <c r="G489" s="20">
        <v>225</v>
      </c>
    </row>
    <row r="490" spans="1:7" ht="24">
      <c r="A490" s="190" t="s">
        <v>412</v>
      </c>
      <c r="B490" s="53" t="s">
        <v>1179</v>
      </c>
      <c r="C490" s="17" t="s">
        <v>806</v>
      </c>
      <c r="D490" s="17" t="s">
        <v>184</v>
      </c>
      <c r="E490" s="17" t="s">
        <v>899</v>
      </c>
      <c r="F490" s="17" t="s">
        <v>419</v>
      </c>
      <c r="G490" s="20">
        <f>136+248</f>
        <v>384</v>
      </c>
    </row>
    <row r="491" spans="1:7" ht="24">
      <c r="A491" s="36" t="s">
        <v>459</v>
      </c>
      <c r="B491" s="53" t="s">
        <v>1179</v>
      </c>
      <c r="C491" s="17" t="s">
        <v>806</v>
      </c>
      <c r="D491" s="17" t="s">
        <v>184</v>
      </c>
      <c r="E491" s="17" t="s">
        <v>18</v>
      </c>
      <c r="F491" s="17" t="s">
        <v>641</v>
      </c>
      <c r="G491" s="19">
        <f>G492</f>
        <v>100</v>
      </c>
    </row>
    <row r="492" spans="1:7" ht="24">
      <c r="A492" s="18" t="s">
        <v>390</v>
      </c>
      <c r="B492" s="53" t="s">
        <v>1179</v>
      </c>
      <c r="C492" s="17" t="s">
        <v>806</v>
      </c>
      <c r="D492" s="17" t="s">
        <v>184</v>
      </c>
      <c r="E492" s="17" t="s">
        <v>18</v>
      </c>
      <c r="F492" s="17" t="s">
        <v>419</v>
      </c>
      <c r="G492" s="20">
        <f>G493</f>
        <v>100</v>
      </c>
    </row>
    <row r="493" spans="1:7" ht="24">
      <c r="A493" s="190" t="s">
        <v>900</v>
      </c>
      <c r="B493" s="53" t="s">
        <v>1179</v>
      </c>
      <c r="C493" s="17" t="s">
        <v>806</v>
      </c>
      <c r="D493" s="17" t="s">
        <v>184</v>
      </c>
      <c r="E493" s="17" t="s">
        <v>18</v>
      </c>
      <c r="F493" s="17" t="s">
        <v>419</v>
      </c>
      <c r="G493" s="20">
        <v>100</v>
      </c>
    </row>
    <row r="494" spans="1:7" ht="24">
      <c r="A494" s="36" t="s">
        <v>459</v>
      </c>
      <c r="B494" s="53" t="s">
        <v>1179</v>
      </c>
      <c r="C494" s="17" t="s">
        <v>901</v>
      </c>
      <c r="D494" s="17" t="s">
        <v>184</v>
      </c>
      <c r="E494" s="17" t="s">
        <v>902</v>
      </c>
      <c r="F494" s="17" t="s">
        <v>641</v>
      </c>
      <c r="G494" s="19">
        <f>G495</f>
        <v>28</v>
      </c>
    </row>
    <row r="495" spans="1:7" ht="24">
      <c r="A495" s="18" t="s">
        <v>390</v>
      </c>
      <c r="B495" s="53" t="s">
        <v>1179</v>
      </c>
      <c r="C495" s="17" t="s">
        <v>806</v>
      </c>
      <c r="D495" s="17" t="s">
        <v>184</v>
      </c>
      <c r="E495" s="17" t="s">
        <v>902</v>
      </c>
      <c r="F495" s="17" t="s">
        <v>419</v>
      </c>
      <c r="G495" s="20">
        <f>G496</f>
        <v>28</v>
      </c>
    </row>
    <row r="496" spans="1:7" ht="24">
      <c r="A496" s="190" t="s">
        <v>900</v>
      </c>
      <c r="B496" s="53" t="s">
        <v>1179</v>
      </c>
      <c r="C496" s="17" t="s">
        <v>806</v>
      </c>
      <c r="D496" s="17" t="s">
        <v>184</v>
      </c>
      <c r="E496" s="17" t="s">
        <v>902</v>
      </c>
      <c r="F496" s="17" t="s">
        <v>419</v>
      </c>
      <c r="G496" s="20">
        <v>28</v>
      </c>
    </row>
    <row r="497" spans="1:7" ht="48">
      <c r="A497" s="36" t="s">
        <v>609</v>
      </c>
      <c r="B497" s="53" t="s">
        <v>1179</v>
      </c>
      <c r="C497" s="17" t="s">
        <v>806</v>
      </c>
      <c r="D497" s="17" t="s">
        <v>184</v>
      </c>
      <c r="E497" s="17" t="s">
        <v>1227</v>
      </c>
      <c r="F497" s="17"/>
      <c r="G497" s="19">
        <f>G498</f>
        <v>1400</v>
      </c>
    </row>
    <row r="498" spans="1:7" ht="24">
      <c r="A498" s="36" t="s">
        <v>459</v>
      </c>
      <c r="B498" s="53" t="s">
        <v>1179</v>
      </c>
      <c r="C498" s="17" t="s">
        <v>806</v>
      </c>
      <c r="D498" s="17" t="s">
        <v>184</v>
      </c>
      <c r="E498" s="17" t="s">
        <v>1227</v>
      </c>
      <c r="F498" s="17" t="s">
        <v>641</v>
      </c>
      <c r="G498" s="19">
        <f>G499</f>
        <v>1400</v>
      </c>
    </row>
    <row r="499" spans="1:7" ht="24">
      <c r="A499" s="18" t="s">
        <v>84</v>
      </c>
      <c r="B499" s="53" t="s">
        <v>1179</v>
      </c>
      <c r="C499" s="17" t="s">
        <v>806</v>
      </c>
      <c r="D499" s="17" t="s">
        <v>184</v>
      </c>
      <c r="E499" s="17" t="s">
        <v>1227</v>
      </c>
      <c r="F499" s="17" t="s">
        <v>419</v>
      </c>
      <c r="G499" s="20">
        <f>2400-1000</f>
        <v>1400</v>
      </c>
    </row>
    <row r="500" spans="1:7" ht="15">
      <c r="A500" s="31" t="s">
        <v>398</v>
      </c>
      <c r="B500" s="53" t="s">
        <v>1179</v>
      </c>
      <c r="C500" s="17" t="s">
        <v>806</v>
      </c>
      <c r="D500" s="17" t="s">
        <v>118</v>
      </c>
      <c r="E500" s="17"/>
      <c r="F500" s="17"/>
      <c r="G500" s="19">
        <f>G502+G514+G535</f>
        <v>107467</v>
      </c>
    </row>
    <row r="501" spans="1:7" ht="24">
      <c r="A501" s="183" t="s">
        <v>33</v>
      </c>
      <c r="B501" s="53" t="s">
        <v>1179</v>
      </c>
      <c r="C501" s="17" t="s">
        <v>806</v>
      </c>
      <c r="D501" s="17" t="s">
        <v>118</v>
      </c>
      <c r="E501" s="17" t="s">
        <v>197</v>
      </c>
      <c r="F501" s="17"/>
      <c r="G501" s="19">
        <f>G502</f>
        <v>3554</v>
      </c>
    </row>
    <row r="502" spans="1:7" ht="24">
      <c r="A502" s="64" t="s">
        <v>647</v>
      </c>
      <c r="B502" s="53" t="s">
        <v>1179</v>
      </c>
      <c r="C502" s="17" t="s">
        <v>806</v>
      </c>
      <c r="D502" s="17" t="s">
        <v>118</v>
      </c>
      <c r="E502" s="17" t="s">
        <v>542</v>
      </c>
      <c r="F502" s="17" t="s">
        <v>1204</v>
      </c>
      <c r="G502" s="19">
        <f>G503</f>
        <v>3554</v>
      </c>
    </row>
    <row r="503" spans="1:7" ht="24">
      <c r="A503" s="18" t="s">
        <v>648</v>
      </c>
      <c r="B503" s="53" t="s">
        <v>1179</v>
      </c>
      <c r="C503" s="17" t="s">
        <v>806</v>
      </c>
      <c r="D503" s="17" t="s">
        <v>118</v>
      </c>
      <c r="E503" s="17" t="s">
        <v>542</v>
      </c>
      <c r="F503" s="17" t="s">
        <v>1204</v>
      </c>
      <c r="G503" s="19">
        <f>G505+G511+G507</f>
        <v>3554</v>
      </c>
    </row>
    <row r="504" spans="1:7" ht="24">
      <c r="A504" s="158" t="s">
        <v>486</v>
      </c>
      <c r="B504" s="53" t="s">
        <v>1179</v>
      </c>
      <c r="C504" s="17" t="s">
        <v>806</v>
      </c>
      <c r="D504" s="17" t="s">
        <v>118</v>
      </c>
      <c r="E504" s="17" t="s">
        <v>542</v>
      </c>
      <c r="F504" s="17" t="s">
        <v>402</v>
      </c>
      <c r="G504" s="19">
        <f>G505</f>
        <v>218</v>
      </c>
    </row>
    <row r="505" spans="1:7" ht="24">
      <c r="A505" s="158" t="s">
        <v>471</v>
      </c>
      <c r="B505" s="53" t="s">
        <v>1179</v>
      </c>
      <c r="C505" s="17" t="s">
        <v>806</v>
      </c>
      <c r="D505" s="17" t="s">
        <v>118</v>
      </c>
      <c r="E505" s="17" t="s">
        <v>542</v>
      </c>
      <c r="F505" s="17" t="s">
        <v>1333</v>
      </c>
      <c r="G505" s="20">
        <f>218</f>
        <v>218</v>
      </c>
    </row>
    <row r="506" spans="1:7" ht="15" hidden="1">
      <c r="A506" s="18" t="s">
        <v>353</v>
      </c>
      <c r="B506" s="53" t="s">
        <v>1179</v>
      </c>
      <c r="C506" s="17" t="s">
        <v>806</v>
      </c>
      <c r="D506" s="17" t="s">
        <v>118</v>
      </c>
      <c r="E506" s="17" t="s">
        <v>542</v>
      </c>
      <c r="F506" s="17" t="s">
        <v>234</v>
      </c>
      <c r="G506" s="20">
        <v>218</v>
      </c>
    </row>
    <row r="507" spans="1:7" ht="24">
      <c r="A507" s="158" t="s">
        <v>270</v>
      </c>
      <c r="B507" s="53" t="s">
        <v>1179</v>
      </c>
      <c r="C507" s="17" t="s">
        <v>806</v>
      </c>
      <c r="D507" s="17" t="s">
        <v>118</v>
      </c>
      <c r="E507" s="17" t="s">
        <v>542</v>
      </c>
      <c r="F507" s="17" t="s">
        <v>312</v>
      </c>
      <c r="G507" s="19">
        <f>G508</f>
        <v>3250</v>
      </c>
    </row>
    <row r="508" spans="1:7" ht="36">
      <c r="A508" s="18" t="s">
        <v>830</v>
      </c>
      <c r="B508" s="53" t="s">
        <v>1179</v>
      </c>
      <c r="C508" s="17" t="s">
        <v>806</v>
      </c>
      <c r="D508" s="17" t="s">
        <v>118</v>
      </c>
      <c r="E508" s="17" t="s">
        <v>542</v>
      </c>
      <c r="F508" s="17" t="s">
        <v>1299</v>
      </c>
      <c r="G508" s="20">
        <f>30000+3250+3921.8-33273.8-648</f>
        <v>3250</v>
      </c>
    </row>
    <row r="509" spans="1:7" ht="24" hidden="1">
      <c r="A509" s="18" t="s">
        <v>893</v>
      </c>
      <c r="B509" s="53" t="s">
        <v>1179</v>
      </c>
      <c r="C509" s="17" t="s">
        <v>806</v>
      </c>
      <c r="D509" s="17" t="s">
        <v>118</v>
      </c>
      <c r="E509" s="17" t="s">
        <v>542</v>
      </c>
      <c r="F509" s="17" t="s">
        <v>1300</v>
      </c>
      <c r="G509" s="19">
        <f>G510</f>
        <v>30000</v>
      </c>
    </row>
    <row r="510" spans="1:7" ht="24" hidden="1">
      <c r="A510" s="18" t="s">
        <v>894</v>
      </c>
      <c r="B510" s="53" t="s">
        <v>1179</v>
      </c>
      <c r="C510" s="17" t="s">
        <v>806</v>
      </c>
      <c r="D510" s="17" t="s">
        <v>118</v>
      </c>
      <c r="E510" s="17" t="s">
        <v>542</v>
      </c>
      <c r="F510" s="17" t="s">
        <v>1300</v>
      </c>
      <c r="G510" s="20">
        <v>30000</v>
      </c>
    </row>
    <row r="511" spans="1:7" ht="24">
      <c r="A511" s="158" t="s">
        <v>1189</v>
      </c>
      <c r="B511" s="53" t="s">
        <v>1179</v>
      </c>
      <c r="C511" s="17" t="s">
        <v>806</v>
      </c>
      <c r="D511" s="17" t="s">
        <v>118</v>
      </c>
      <c r="E511" s="17" t="s">
        <v>542</v>
      </c>
      <c r="F511" s="17" t="s">
        <v>1190</v>
      </c>
      <c r="G511" s="19">
        <f>G512</f>
        <v>86</v>
      </c>
    </row>
    <row r="512" spans="1:7" ht="24">
      <c r="A512" s="158" t="s">
        <v>1059</v>
      </c>
      <c r="B512" s="53" t="s">
        <v>1179</v>
      </c>
      <c r="C512" s="17" t="s">
        <v>806</v>
      </c>
      <c r="D512" s="17" t="s">
        <v>118</v>
      </c>
      <c r="E512" s="17" t="s">
        <v>542</v>
      </c>
      <c r="F512" s="17" t="s">
        <v>1060</v>
      </c>
      <c r="G512" s="20">
        <v>86</v>
      </c>
    </row>
    <row r="513" spans="1:7" ht="15" hidden="1">
      <c r="A513" s="159" t="s">
        <v>819</v>
      </c>
      <c r="B513" s="53" t="s">
        <v>1179</v>
      </c>
      <c r="C513" s="17" t="s">
        <v>806</v>
      </c>
      <c r="D513" s="17" t="s">
        <v>118</v>
      </c>
      <c r="E513" s="17" t="s">
        <v>542</v>
      </c>
      <c r="F513" s="17" t="s">
        <v>543</v>
      </c>
      <c r="G513" s="20">
        <v>86</v>
      </c>
    </row>
    <row r="514" spans="1:7" ht="36">
      <c r="A514" s="36" t="s">
        <v>895</v>
      </c>
      <c r="B514" s="53" t="s">
        <v>1179</v>
      </c>
      <c r="C514" s="17" t="s">
        <v>806</v>
      </c>
      <c r="D514" s="17" t="s">
        <v>118</v>
      </c>
      <c r="E514" s="17" t="s">
        <v>1301</v>
      </c>
      <c r="F514" s="17"/>
      <c r="G514" s="19">
        <f>G515+G518+G526+G530</f>
        <v>102913</v>
      </c>
    </row>
    <row r="515" spans="1:7" ht="60">
      <c r="A515" s="36" t="s">
        <v>829</v>
      </c>
      <c r="B515" s="53" t="s">
        <v>1179</v>
      </c>
      <c r="C515" s="17" t="s">
        <v>806</v>
      </c>
      <c r="D515" s="17" t="s">
        <v>118</v>
      </c>
      <c r="E515" s="17" t="s">
        <v>1248</v>
      </c>
      <c r="F515" s="17"/>
      <c r="G515" s="19">
        <f>G516</f>
        <v>566</v>
      </c>
    </row>
    <row r="516" spans="1:7" ht="24">
      <c r="A516" s="36" t="s">
        <v>459</v>
      </c>
      <c r="B516" s="53" t="s">
        <v>1179</v>
      </c>
      <c r="C516" s="17" t="s">
        <v>806</v>
      </c>
      <c r="D516" s="17" t="s">
        <v>118</v>
      </c>
      <c r="E516" s="17" t="s">
        <v>1248</v>
      </c>
      <c r="F516" s="17" t="s">
        <v>641</v>
      </c>
      <c r="G516" s="19">
        <f>G517</f>
        <v>566</v>
      </c>
    </row>
    <row r="517" spans="1:7" ht="24">
      <c r="A517" s="18" t="s">
        <v>418</v>
      </c>
      <c r="B517" s="53" t="s">
        <v>1179</v>
      </c>
      <c r="C517" s="17" t="s">
        <v>806</v>
      </c>
      <c r="D517" s="17" t="s">
        <v>118</v>
      </c>
      <c r="E517" s="17" t="s">
        <v>1248</v>
      </c>
      <c r="F517" s="17" t="s">
        <v>419</v>
      </c>
      <c r="G517" s="20">
        <v>566</v>
      </c>
    </row>
    <row r="518" spans="1:7" ht="24">
      <c r="A518" s="18" t="s">
        <v>633</v>
      </c>
      <c r="B518" s="53" t="s">
        <v>1179</v>
      </c>
      <c r="C518" s="17" t="s">
        <v>806</v>
      </c>
      <c r="D518" s="17" t="s">
        <v>118</v>
      </c>
      <c r="E518" s="17" t="s">
        <v>1302</v>
      </c>
      <c r="F518" s="17" t="s">
        <v>1204</v>
      </c>
      <c r="G518" s="19">
        <f>G519+G522</f>
        <v>13078</v>
      </c>
    </row>
    <row r="519" spans="1:7" ht="36.75" customHeight="1">
      <c r="A519" s="158" t="s">
        <v>485</v>
      </c>
      <c r="B519" s="53" t="s">
        <v>1179</v>
      </c>
      <c r="C519" s="17" t="s">
        <v>806</v>
      </c>
      <c r="D519" s="17" t="s">
        <v>118</v>
      </c>
      <c r="E519" s="17" t="s">
        <v>1302</v>
      </c>
      <c r="F519" s="17" t="s">
        <v>21</v>
      </c>
      <c r="G519" s="19">
        <f>G520</f>
        <v>11892</v>
      </c>
    </row>
    <row r="520" spans="1:7" ht="24">
      <c r="A520" s="158" t="s">
        <v>34</v>
      </c>
      <c r="B520" s="53" t="s">
        <v>1179</v>
      </c>
      <c r="C520" s="17" t="s">
        <v>806</v>
      </c>
      <c r="D520" s="17" t="s">
        <v>118</v>
      </c>
      <c r="E520" s="17" t="s">
        <v>1302</v>
      </c>
      <c r="F520" s="17" t="s">
        <v>416</v>
      </c>
      <c r="G520" s="20">
        <f>14084-1535.3-463.7-90-13-90</f>
        <v>11892</v>
      </c>
    </row>
    <row r="521" spans="1:7" ht="15" hidden="1">
      <c r="A521" s="18" t="s">
        <v>812</v>
      </c>
      <c r="B521" s="53" t="s">
        <v>1179</v>
      </c>
      <c r="C521" s="17" t="s">
        <v>806</v>
      </c>
      <c r="D521" s="17" t="s">
        <v>118</v>
      </c>
      <c r="E521" s="17" t="s">
        <v>1302</v>
      </c>
      <c r="F521" s="17" t="s">
        <v>813</v>
      </c>
      <c r="G521" s="20">
        <v>14084</v>
      </c>
    </row>
    <row r="522" spans="1:7" ht="24">
      <c r="A522" s="158" t="s">
        <v>486</v>
      </c>
      <c r="B522" s="53" t="s">
        <v>1179</v>
      </c>
      <c r="C522" s="17" t="s">
        <v>806</v>
      </c>
      <c r="D522" s="17" t="s">
        <v>118</v>
      </c>
      <c r="E522" s="17" t="s">
        <v>1302</v>
      </c>
      <c r="F522" s="17" t="s">
        <v>402</v>
      </c>
      <c r="G522" s="19">
        <f>G523</f>
        <v>1186</v>
      </c>
    </row>
    <row r="523" spans="1:7" ht="24">
      <c r="A523" s="158" t="s">
        <v>471</v>
      </c>
      <c r="B523" s="53" t="s">
        <v>1179</v>
      </c>
      <c r="C523" s="17" t="s">
        <v>806</v>
      </c>
      <c r="D523" s="17" t="s">
        <v>118</v>
      </c>
      <c r="E523" s="17" t="s">
        <v>1302</v>
      </c>
      <c r="F523" s="17" t="s">
        <v>1333</v>
      </c>
      <c r="G523" s="20">
        <f>1173+13</f>
        <v>1186</v>
      </c>
    </row>
    <row r="524" spans="1:7" ht="24" hidden="1">
      <c r="A524" s="158" t="s">
        <v>178</v>
      </c>
      <c r="B524" s="53" t="s">
        <v>1179</v>
      </c>
      <c r="C524" s="17" t="s">
        <v>806</v>
      </c>
      <c r="D524" s="17" t="s">
        <v>118</v>
      </c>
      <c r="E524" s="17" t="s">
        <v>1302</v>
      </c>
      <c r="F524" s="17" t="s">
        <v>516</v>
      </c>
      <c r="G524" s="20">
        <v>488</v>
      </c>
    </row>
    <row r="525" spans="1:7" ht="15" hidden="1">
      <c r="A525" s="158" t="s">
        <v>233</v>
      </c>
      <c r="B525" s="53" t="s">
        <v>1179</v>
      </c>
      <c r="C525" s="17" t="s">
        <v>806</v>
      </c>
      <c r="D525" s="17" t="s">
        <v>118</v>
      </c>
      <c r="E525" s="17" t="s">
        <v>1302</v>
      </c>
      <c r="F525" s="17" t="s">
        <v>234</v>
      </c>
      <c r="G525" s="20">
        <v>685</v>
      </c>
    </row>
    <row r="526" spans="1:7" ht="24">
      <c r="A526" s="159" t="s">
        <v>819</v>
      </c>
      <c r="B526" s="53" t="s">
        <v>1179</v>
      </c>
      <c r="C526" s="17" t="s">
        <v>806</v>
      </c>
      <c r="D526" s="17" t="s">
        <v>118</v>
      </c>
      <c r="E526" s="17" t="s">
        <v>1302</v>
      </c>
      <c r="F526" s="17" t="s">
        <v>1204</v>
      </c>
      <c r="G526" s="19">
        <f>G527</f>
        <v>176</v>
      </c>
    </row>
    <row r="527" spans="1:7" ht="24">
      <c r="A527" s="158" t="s">
        <v>1189</v>
      </c>
      <c r="B527" s="53" t="s">
        <v>1179</v>
      </c>
      <c r="C527" s="17" t="s">
        <v>806</v>
      </c>
      <c r="D527" s="17" t="s">
        <v>118</v>
      </c>
      <c r="E527" s="17" t="s">
        <v>1302</v>
      </c>
      <c r="F527" s="17" t="s">
        <v>1190</v>
      </c>
      <c r="G527" s="19">
        <f>G528</f>
        <v>176</v>
      </c>
    </row>
    <row r="528" spans="1:7" ht="24">
      <c r="A528" s="158" t="s">
        <v>1059</v>
      </c>
      <c r="B528" s="53" t="s">
        <v>1179</v>
      </c>
      <c r="C528" s="17" t="s">
        <v>806</v>
      </c>
      <c r="D528" s="17" t="s">
        <v>118</v>
      </c>
      <c r="E528" s="17" t="s">
        <v>1302</v>
      </c>
      <c r="F528" s="17" t="s">
        <v>1060</v>
      </c>
      <c r="G528" s="20">
        <v>176</v>
      </c>
    </row>
    <row r="529" spans="1:7" ht="15" hidden="1">
      <c r="A529" s="159" t="s">
        <v>819</v>
      </c>
      <c r="B529" s="53" t="s">
        <v>1179</v>
      </c>
      <c r="C529" s="17" t="s">
        <v>806</v>
      </c>
      <c r="D529" s="17" t="s">
        <v>118</v>
      </c>
      <c r="E529" s="17" t="s">
        <v>1302</v>
      </c>
      <c r="F529" s="17" t="s">
        <v>543</v>
      </c>
      <c r="G529" s="20">
        <v>176</v>
      </c>
    </row>
    <row r="530" spans="1:7" ht="48">
      <c r="A530" s="64" t="s">
        <v>348</v>
      </c>
      <c r="B530" s="53" t="s">
        <v>1179</v>
      </c>
      <c r="C530" s="17" t="s">
        <v>806</v>
      </c>
      <c r="D530" s="17" t="s">
        <v>118</v>
      </c>
      <c r="E530" s="17" t="s">
        <v>1303</v>
      </c>
      <c r="F530" s="17" t="s">
        <v>1204</v>
      </c>
      <c r="G530" s="19">
        <f>G531</f>
        <v>89093</v>
      </c>
    </row>
    <row r="531" spans="1:7" ht="18.75" customHeight="1">
      <c r="A531" s="18" t="s">
        <v>1347</v>
      </c>
      <c r="B531" s="53" t="s">
        <v>1179</v>
      </c>
      <c r="C531" s="17" t="s">
        <v>806</v>
      </c>
      <c r="D531" s="17" t="s">
        <v>118</v>
      </c>
      <c r="E531" s="17" t="s">
        <v>1303</v>
      </c>
      <c r="F531" s="17" t="s">
        <v>1204</v>
      </c>
      <c r="G531" s="19">
        <f>G532</f>
        <v>89093</v>
      </c>
    </row>
    <row r="532" spans="1:7" ht="28.5" customHeight="1">
      <c r="A532" s="36" t="s">
        <v>459</v>
      </c>
      <c r="B532" s="53" t="s">
        <v>1179</v>
      </c>
      <c r="C532" s="17" t="s">
        <v>806</v>
      </c>
      <c r="D532" s="17" t="s">
        <v>118</v>
      </c>
      <c r="E532" s="17" t="s">
        <v>1303</v>
      </c>
      <c r="F532" s="17" t="s">
        <v>641</v>
      </c>
      <c r="G532" s="19">
        <f>G533</f>
        <v>89093</v>
      </c>
    </row>
    <row r="533" spans="1:7" ht="23.25" customHeight="1">
      <c r="A533" s="18" t="s">
        <v>460</v>
      </c>
      <c r="B533" s="53" t="s">
        <v>1179</v>
      </c>
      <c r="C533" s="17" t="s">
        <v>806</v>
      </c>
      <c r="D533" s="17" t="s">
        <v>118</v>
      </c>
      <c r="E533" s="17" t="s">
        <v>1303</v>
      </c>
      <c r="F533" s="17" t="s">
        <v>419</v>
      </c>
      <c r="G533" s="20">
        <f>86916+1144+180+493+360</f>
        <v>89093</v>
      </c>
    </row>
    <row r="534" spans="1:7" ht="32.25" customHeight="1">
      <c r="A534" s="18" t="s">
        <v>174</v>
      </c>
      <c r="B534" s="53" t="s">
        <v>1179</v>
      </c>
      <c r="C534" s="17" t="s">
        <v>806</v>
      </c>
      <c r="D534" s="17" t="s">
        <v>118</v>
      </c>
      <c r="E534" s="17" t="s">
        <v>1303</v>
      </c>
      <c r="F534" s="17" t="s">
        <v>419</v>
      </c>
      <c r="G534" s="20">
        <v>180</v>
      </c>
    </row>
    <row r="535" spans="1:7" ht="48" customHeight="1">
      <c r="A535" s="36" t="s">
        <v>609</v>
      </c>
      <c r="B535" s="53" t="s">
        <v>1179</v>
      </c>
      <c r="C535" s="17" t="s">
        <v>806</v>
      </c>
      <c r="D535" s="17" t="s">
        <v>118</v>
      </c>
      <c r="E535" s="17" t="s">
        <v>1227</v>
      </c>
      <c r="F535" s="17"/>
      <c r="G535" s="19">
        <f>G536</f>
        <v>1000</v>
      </c>
    </row>
    <row r="536" spans="1:7" ht="32.25" customHeight="1">
      <c r="A536" s="36" t="s">
        <v>459</v>
      </c>
      <c r="B536" s="53" t="s">
        <v>1179</v>
      </c>
      <c r="C536" s="17" t="s">
        <v>806</v>
      </c>
      <c r="D536" s="17" t="s">
        <v>118</v>
      </c>
      <c r="E536" s="17" t="s">
        <v>1227</v>
      </c>
      <c r="F536" s="17" t="s">
        <v>641</v>
      </c>
      <c r="G536" s="19">
        <f>G537</f>
        <v>1000</v>
      </c>
    </row>
    <row r="537" spans="1:7" ht="22.5" customHeight="1">
      <c r="A537" s="18" t="s">
        <v>84</v>
      </c>
      <c r="B537" s="53" t="s">
        <v>1179</v>
      </c>
      <c r="C537" s="17" t="s">
        <v>806</v>
      </c>
      <c r="D537" s="17" t="s">
        <v>118</v>
      </c>
      <c r="E537" s="17" t="s">
        <v>1227</v>
      </c>
      <c r="F537" s="17" t="s">
        <v>419</v>
      </c>
      <c r="G537" s="20">
        <v>1000</v>
      </c>
    </row>
    <row r="538" spans="1:7" ht="15">
      <c r="A538" s="24" t="s">
        <v>267</v>
      </c>
      <c r="B538" s="53" t="s">
        <v>1179</v>
      </c>
      <c r="C538" s="23" t="s">
        <v>49</v>
      </c>
      <c r="D538" s="23"/>
      <c r="E538" s="23"/>
      <c r="F538" s="23"/>
      <c r="G538" s="19">
        <f>G539</f>
        <v>166854.4</v>
      </c>
    </row>
    <row r="539" spans="1:7" ht="15">
      <c r="A539" s="31" t="s">
        <v>268</v>
      </c>
      <c r="B539" s="53" t="s">
        <v>1179</v>
      </c>
      <c r="C539" s="17" t="s">
        <v>49</v>
      </c>
      <c r="D539" s="17" t="s">
        <v>184</v>
      </c>
      <c r="E539" s="27"/>
      <c r="F539" s="27"/>
      <c r="G539" s="19">
        <f>G540+G565+G569</f>
        <v>166854.4</v>
      </c>
    </row>
    <row r="540" spans="1:7" ht="23.25" customHeight="1">
      <c r="A540" s="33" t="s">
        <v>797</v>
      </c>
      <c r="B540" s="53" t="s">
        <v>1179</v>
      </c>
      <c r="C540" s="17" t="s">
        <v>49</v>
      </c>
      <c r="D540" s="17" t="s">
        <v>184</v>
      </c>
      <c r="E540" s="17" t="s">
        <v>54</v>
      </c>
      <c r="F540" s="17"/>
      <c r="G540" s="19">
        <f>G541</f>
        <v>129759.9</v>
      </c>
    </row>
    <row r="541" spans="1:7" ht="27" customHeight="1">
      <c r="A541" s="18" t="s">
        <v>57</v>
      </c>
      <c r="B541" s="53" t="s">
        <v>1179</v>
      </c>
      <c r="C541" s="17" t="s">
        <v>49</v>
      </c>
      <c r="D541" s="17" t="s">
        <v>184</v>
      </c>
      <c r="E541" s="17" t="s">
        <v>58</v>
      </c>
      <c r="F541" s="17" t="s">
        <v>1204</v>
      </c>
      <c r="G541" s="19">
        <f>G542+G546+G556</f>
        <v>129759.9</v>
      </c>
    </row>
    <row r="542" spans="1:7" ht="51" customHeight="1">
      <c r="A542" s="238" t="s">
        <v>1171</v>
      </c>
      <c r="B542" s="53" t="s">
        <v>1179</v>
      </c>
      <c r="C542" s="17" t="s">
        <v>49</v>
      </c>
      <c r="D542" s="17" t="s">
        <v>184</v>
      </c>
      <c r="E542" s="17" t="s">
        <v>1249</v>
      </c>
      <c r="F542" s="17"/>
      <c r="G542" s="19">
        <f>G543</f>
        <v>550</v>
      </c>
    </row>
    <row r="543" spans="1:7" ht="27" customHeight="1">
      <c r="A543" s="36" t="s">
        <v>459</v>
      </c>
      <c r="B543" s="53" t="s">
        <v>1179</v>
      </c>
      <c r="C543" s="17" t="s">
        <v>49</v>
      </c>
      <c r="D543" s="17" t="s">
        <v>184</v>
      </c>
      <c r="E543" s="17" t="s">
        <v>1249</v>
      </c>
      <c r="F543" s="17" t="s">
        <v>641</v>
      </c>
      <c r="G543" s="19">
        <f>G544</f>
        <v>550</v>
      </c>
    </row>
    <row r="544" spans="1:7" ht="16.5" customHeight="1">
      <c r="A544" s="18" t="s">
        <v>418</v>
      </c>
      <c r="B544" s="53" t="s">
        <v>1179</v>
      </c>
      <c r="C544" s="17" t="s">
        <v>49</v>
      </c>
      <c r="D544" s="17" t="s">
        <v>184</v>
      </c>
      <c r="E544" s="17" t="s">
        <v>1249</v>
      </c>
      <c r="F544" s="17" t="s">
        <v>419</v>
      </c>
      <c r="G544" s="20">
        <v>550</v>
      </c>
    </row>
    <row r="545" spans="1:7" ht="27" customHeight="1">
      <c r="A545" s="36" t="s">
        <v>459</v>
      </c>
      <c r="B545" s="53" t="s">
        <v>1179</v>
      </c>
      <c r="C545" s="17" t="s">
        <v>49</v>
      </c>
      <c r="D545" s="17" t="s">
        <v>184</v>
      </c>
      <c r="E545" s="17" t="s">
        <v>59</v>
      </c>
      <c r="F545" s="17" t="s">
        <v>641</v>
      </c>
      <c r="G545" s="19">
        <f>G546+G556</f>
        <v>129209.9</v>
      </c>
    </row>
    <row r="546" spans="1:7" ht="17.25" customHeight="1">
      <c r="A546" s="18" t="s">
        <v>390</v>
      </c>
      <c r="B546" s="53" t="s">
        <v>1179</v>
      </c>
      <c r="C546" s="17" t="s">
        <v>49</v>
      </c>
      <c r="D546" s="17" t="s">
        <v>184</v>
      </c>
      <c r="E546" s="17" t="s">
        <v>59</v>
      </c>
      <c r="F546" s="17" t="s">
        <v>419</v>
      </c>
      <c r="G546" s="20">
        <f>30871-330+320-196+146.5+841+434+8-106.5+1470+61.5</f>
        <v>33519.5</v>
      </c>
    </row>
    <row r="547" spans="1:7" ht="24" hidden="1">
      <c r="A547" s="18" t="s">
        <v>417</v>
      </c>
      <c r="B547" s="53" t="s">
        <v>1179</v>
      </c>
      <c r="C547" s="17" t="s">
        <v>49</v>
      </c>
      <c r="D547" s="17" t="s">
        <v>184</v>
      </c>
      <c r="E547" s="17" t="s">
        <v>59</v>
      </c>
      <c r="F547" s="17" t="s">
        <v>420</v>
      </c>
      <c r="G547" s="20">
        <v>28871</v>
      </c>
    </row>
    <row r="548" spans="1:7" ht="15" hidden="1">
      <c r="A548" s="18" t="s">
        <v>221</v>
      </c>
      <c r="B548" s="53" t="s">
        <v>1179</v>
      </c>
      <c r="C548" s="17" t="s">
        <v>49</v>
      </c>
      <c r="D548" s="17" t="s">
        <v>184</v>
      </c>
      <c r="E548" s="17" t="s">
        <v>59</v>
      </c>
      <c r="F548" s="17" t="s">
        <v>88</v>
      </c>
      <c r="G548" s="19">
        <f>G549+G550+G551+G552</f>
        <v>1237</v>
      </c>
    </row>
    <row r="549" spans="1:7" ht="24">
      <c r="A549" s="18" t="s">
        <v>29</v>
      </c>
      <c r="B549" s="53" t="s">
        <v>1179</v>
      </c>
      <c r="C549" s="17" t="s">
        <v>49</v>
      </c>
      <c r="D549" s="17" t="s">
        <v>184</v>
      </c>
      <c r="E549" s="17" t="s">
        <v>59</v>
      </c>
      <c r="F549" s="17" t="s">
        <v>419</v>
      </c>
      <c r="G549" s="20">
        <f>2000-330-196-237</f>
        <v>1237</v>
      </c>
    </row>
    <row r="550" spans="1:7" ht="15" hidden="1">
      <c r="A550" s="18" t="s">
        <v>529</v>
      </c>
      <c r="B550" s="53" t="s">
        <v>1179</v>
      </c>
      <c r="C550" s="17" t="s">
        <v>49</v>
      </c>
      <c r="D550" s="17" t="s">
        <v>184</v>
      </c>
      <c r="E550" s="17" t="s">
        <v>59</v>
      </c>
      <c r="F550" s="17" t="s">
        <v>88</v>
      </c>
      <c r="G550" s="20"/>
    </row>
    <row r="551" spans="1:7" ht="15" hidden="1">
      <c r="A551" s="18" t="s">
        <v>236</v>
      </c>
      <c r="B551" s="53" t="s">
        <v>1179</v>
      </c>
      <c r="C551" s="17" t="s">
        <v>49</v>
      </c>
      <c r="D551" s="17" t="s">
        <v>184</v>
      </c>
      <c r="E551" s="17" t="s">
        <v>59</v>
      </c>
      <c r="F551" s="17" t="s">
        <v>88</v>
      </c>
      <c r="G551" s="20"/>
    </row>
    <row r="552" spans="1:7" ht="15" hidden="1">
      <c r="A552" s="18" t="s">
        <v>179</v>
      </c>
      <c r="B552" s="53" t="s">
        <v>1179</v>
      </c>
      <c r="C552" s="17" t="s">
        <v>49</v>
      </c>
      <c r="D552" s="17" t="s">
        <v>184</v>
      </c>
      <c r="E552" s="17" t="s">
        <v>59</v>
      </c>
      <c r="F552" s="17" t="s">
        <v>88</v>
      </c>
      <c r="G552" s="20"/>
    </row>
    <row r="553" spans="1:7" ht="24">
      <c r="A553" s="18" t="s">
        <v>862</v>
      </c>
      <c r="B553" s="53" t="s">
        <v>1179</v>
      </c>
      <c r="C553" s="17" t="s">
        <v>49</v>
      </c>
      <c r="D553" s="17" t="s">
        <v>184</v>
      </c>
      <c r="E553" s="17" t="s">
        <v>59</v>
      </c>
      <c r="F553" s="17" t="s">
        <v>419</v>
      </c>
      <c r="G553" s="20">
        <f>146.5+841</f>
        <v>987.5</v>
      </c>
    </row>
    <row r="554" spans="1:7" ht="24">
      <c r="A554" s="18" t="s">
        <v>236</v>
      </c>
      <c r="B554" s="53" t="s">
        <v>1179</v>
      </c>
      <c r="C554" s="17" t="s">
        <v>49</v>
      </c>
      <c r="D554" s="17" t="s">
        <v>184</v>
      </c>
      <c r="E554" s="17" t="s">
        <v>59</v>
      </c>
      <c r="F554" s="17" t="s">
        <v>419</v>
      </c>
      <c r="G554" s="20">
        <f>8+61.5</f>
        <v>69.5</v>
      </c>
    </row>
    <row r="555" spans="1:7" ht="24">
      <c r="A555" s="18" t="s">
        <v>96</v>
      </c>
      <c r="B555" s="53" t="s">
        <v>1179</v>
      </c>
      <c r="C555" s="17" t="s">
        <v>49</v>
      </c>
      <c r="D555" s="17" t="s">
        <v>184</v>
      </c>
      <c r="E555" s="17" t="s">
        <v>59</v>
      </c>
      <c r="F555" s="17" t="s">
        <v>419</v>
      </c>
      <c r="G555" s="20">
        <v>237</v>
      </c>
    </row>
    <row r="556" spans="1:7" ht="24">
      <c r="A556" s="18" t="s">
        <v>746</v>
      </c>
      <c r="B556" s="53" t="s">
        <v>1179</v>
      </c>
      <c r="C556" s="17" t="s">
        <v>49</v>
      </c>
      <c r="D556" s="17" t="s">
        <v>184</v>
      </c>
      <c r="E556" s="17" t="s">
        <v>59</v>
      </c>
      <c r="F556" s="17" t="s">
        <v>244</v>
      </c>
      <c r="G556" s="20">
        <f>79358.1+330+1040+7612.9+2439.4+3550+196+133.5+519+291.5+220</f>
        <v>95690.4</v>
      </c>
    </row>
    <row r="557" spans="1:7" ht="24">
      <c r="A557" s="18" t="s">
        <v>29</v>
      </c>
      <c r="B557" s="53" t="s">
        <v>1179</v>
      </c>
      <c r="C557" s="17" t="s">
        <v>49</v>
      </c>
      <c r="D557" s="17" t="s">
        <v>184</v>
      </c>
      <c r="E557" s="17" t="s">
        <v>59</v>
      </c>
      <c r="F557" s="17" t="s">
        <v>244</v>
      </c>
      <c r="G557" s="20">
        <f>330+196</f>
        <v>526</v>
      </c>
    </row>
    <row r="558" spans="1:7" ht="24">
      <c r="A558" s="18" t="s">
        <v>588</v>
      </c>
      <c r="B558" s="53" t="s">
        <v>1179</v>
      </c>
      <c r="C558" s="17" t="s">
        <v>49</v>
      </c>
      <c r="D558" s="17" t="s">
        <v>184</v>
      </c>
      <c r="E558" s="17" t="s">
        <v>59</v>
      </c>
      <c r="F558" s="17" t="s">
        <v>244</v>
      </c>
      <c r="G558" s="20">
        <v>99.2</v>
      </c>
    </row>
    <row r="559" spans="1:7" ht="24">
      <c r="A559" s="18" t="s">
        <v>623</v>
      </c>
      <c r="B559" s="53" t="s">
        <v>1179</v>
      </c>
      <c r="C559" s="17" t="s">
        <v>49</v>
      </c>
      <c r="D559" s="17" t="s">
        <v>184</v>
      </c>
      <c r="E559" s="17" t="s">
        <v>59</v>
      </c>
      <c r="F559" s="17" t="s">
        <v>244</v>
      </c>
      <c r="G559" s="20">
        <v>154</v>
      </c>
    </row>
    <row r="560" spans="1:7" ht="24">
      <c r="A560" s="18" t="s">
        <v>767</v>
      </c>
      <c r="B560" s="53" t="s">
        <v>1179</v>
      </c>
      <c r="C560" s="17" t="s">
        <v>49</v>
      </c>
      <c r="D560" s="17" t="s">
        <v>184</v>
      </c>
      <c r="E560" s="17" t="s">
        <v>59</v>
      </c>
      <c r="F560" s="17" t="s">
        <v>244</v>
      </c>
      <c r="G560" s="20">
        <f>1040-100</f>
        <v>940</v>
      </c>
    </row>
    <row r="561" spans="1:7" ht="36">
      <c r="A561" s="18" t="s">
        <v>1462</v>
      </c>
      <c r="B561" s="53" t="s">
        <v>1179</v>
      </c>
      <c r="C561" s="17" t="s">
        <v>49</v>
      </c>
      <c r="D561" s="17" t="s">
        <v>184</v>
      </c>
      <c r="E561" s="17" t="s">
        <v>59</v>
      </c>
      <c r="F561" s="17" t="s">
        <v>244</v>
      </c>
      <c r="G561" s="20">
        <f>7612.9+2439.4+3550+291.5-1250</f>
        <v>12643.8</v>
      </c>
    </row>
    <row r="562" spans="1:7" ht="24">
      <c r="A562" s="18" t="s">
        <v>862</v>
      </c>
      <c r="B562" s="53" t="s">
        <v>1179</v>
      </c>
      <c r="C562" s="17" t="s">
        <v>49</v>
      </c>
      <c r="D562" s="17" t="s">
        <v>184</v>
      </c>
      <c r="E562" s="17" t="s">
        <v>59</v>
      </c>
      <c r="F562" s="17" t="s">
        <v>244</v>
      </c>
      <c r="G562" s="20">
        <f>133.5+519</f>
        <v>652.5</v>
      </c>
    </row>
    <row r="563" spans="1:7" ht="24">
      <c r="A563" s="18" t="s">
        <v>98</v>
      </c>
      <c r="B563" s="53" t="s">
        <v>1179</v>
      </c>
      <c r="C563" s="17" t="s">
        <v>49</v>
      </c>
      <c r="D563" s="17" t="s">
        <v>184</v>
      </c>
      <c r="E563" s="17" t="s">
        <v>59</v>
      </c>
      <c r="F563" s="17" t="s">
        <v>244</v>
      </c>
      <c r="G563" s="20">
        <v>220</v>
      </c>
    </row>
    <row r="564" spans="1:7" ht="24">
      <c r="A564" s="18" t="s">
        <v>236</v>
      </c>
      <c r="B564" s="53" t="s">
        <v>1179</v>
      </c>
      <c r="C564" s="17" t="s">
        <v>49</v>
      </c>
      <c r="D564" s="17" t="s">
        <v>184</v>
      </c>
      <c r="E564" s="17" t="s">
        <v>59</v>
      </c>
      <c r="F564" s="17" t="s">
        <v>244</v>
      </c>
      <c r="G564" s="20">
        <v>98</v>
      </c>
    </row>
    <row r="565" spans="1:7" ht="24">
      <c r="A565" s="36" t="s">
        <v>270</v>
      </c>
      <c r="B565" s="53" t="s">
        <v>1179</v>
      </c>
      <c r="C565" s="17" t="s">
        <v>49</v>
      </c>
      <c r="D565" s="17" t="s">
        <v>184</v>
      </c>
      <c r="E565" s="17" t="s">
        <v>1006</v>
      </c>
      <c r="F565" s="17" t="s">
        <v>312</v>
      </c>
      <c r="G565" s="19">
        <f>G566</f>
        <v>36894.50000000001</v>
      </c>
    </row>
    <row r="566" spans="1:7" ht="36">
      <c r="A566" s="36" t="s">
        <v>1005</v>
      </c>
      <c r="B566" s="53" t="s">
        <v>1179</v>
      </c>
      <c r="C566" s="17" t="s">
        <v>49</v>
      </c>
      <c r="D566" s="17" t="s">
        <v>184</v>
      </c>
      <c r="E566" s="17" t="s">
        <v>1006</v>
      </c>
      <c r="F566" s="17" t="s">
        <v>1174</v>
      </c>
      <c r="G566" s="19">
        <f>G567+G568</f>
        <v>36894.50000000001</v>
      </c>
    </row>
    <row r="567" spans="1:7" ht="60">
      <c r="A567" s="36" t="s">
        <v>189</v>
      </c>
      <c r="B567" s="53" t="s">
        <v>1179</v>
      </c>
      <c r="C567" s="17" t="s">
        <v>49</v>
      </c>
      <c r="D567" s="17" t="s">
        <v>184</v>
      </c>
      <c r="E567" s="17" t="s">
        <v>1006</v>
      </c>
      <c r="F567" s="17" t="s">
        <v>1174</v>
      </c>
      <c r="G567" s="20">
        <f>110+344.9+33921.8</f>
        <v>34376.700000000004</v>
      </c>
    </row>
    <row r="568" spans="1:7" ht="24">
      <c r="A568" s="36" t="s">
        <v>517</v>
      </c>
      <c r="B568" s="53" t="s">
        <v>1179</v>
      </c>
      <c r="C568" s="17" t="s">
        <v>49</v>
      </c>
      <c r="D568" s="17" t="s">
        <v>184</v>
      </c>
      <c r="E568" s="17" t="s">
        <v>1006</v>
      </c>
      <c r="F568" s="17" t="s">
        <v>1174</v>
      </c>
      <c r="G568" s="20">
        <v>2517.8</v>
      </c>
    </row>
    <row r="569" spans="1:7" ht="48">
      <c r="A569" s="36" t="s">
        <v>609</v>
      </c>
      <c r="B569" s="53" t="s">
        <v>1179</v>
      </c>
      <c r="C569" s="17" t="s">
        <v>49</v>
      </c>
      <c r="D569" s="17" t="s">
        <v>184</v>
      </c>
      <c r="E569" s="17" t="s">
        <v>1227</v>
      </c>
      <c r="F569" s="17" t="s">
        <v>1204</v>
      </c>
      <c r="G569" s="19">
        <f>G570</f>
        <v>200</v>
      </c>
    </row>
    <row r="570" spans="1:7" ht="24">
      <c r="A570" s="36" t="s">
        <v>459</v>
      </c>
      <c r="B570" s="53" t="s">
        <v>1179</v>
      </c>
      <c r="C570" s="17" t="s">
        <v>49</v>
      </c>
      <c r="D570" s="17" t="s">
        <v>184</v>
      </c>
      <c r="E570" s="17" t="s">
        <v>1227</v>
      </c>
      <c r="F570" s="17" t="s">
        <v>641</v>
      </c>
      <c r="G570" s="19">
        <f>G571</f>
        <v>200</v>
      </c>
    </row>
    <row r="571" spans="1:7" ht="24">
      <c r="A571" s="18" t="s">
        <v>226</v>
      </c>
      <c r="B571" s="53" t="s">
        <v>1179</v>
      </c>
      <c r="C571" s="17" t="s">
        <v>49</v>
      </c>
      <c r="D571" s="17" t="s">
        <v>184</v>
      </c>
      <c r="E571" s="17" t="s">
        <v>1227</v>
      </c>
      <c r="F571" s="17" t="s">
        <v>419</v>
      </c>
      <c r="G571" s="20">
        <v>200</v>
      </c>
    </row>
    <row r="572" spans="1:7" ht="17.25" customHeight="1">
      <c r="A572" s="50" t="s">
        <v>188</v>
      </c>
      <c r="B572" s="51" t="s">
        <v>1180</v>
      </c>
      <c r="C572" s="51"/>
      <c r="D572" s="51"/>
      <c r="E572" s="51"/>
      <c r="F572" s="51"/>
      <c r="G572" s="52">
        <f>G573+G707+G713+G756+G834+G919+G933+G1102+G1128+G1134</f>
        <v>1980841.4</v>
      </c>
    </row>
    <row r="573" spans="1:7" ht="15">
      <c r="A573" s="160" t="s">
        <v>911</v>
      </c>
      <c r="B573" s="53" t="s">
        <v>1180</v>
      </c>
      <c r="C573" s="17" t="s">
        <v>184</v>
      </c>
      <c r="D573" s="17"/>
      <c r="E573" s="17"/>
      <c r="F573" s="17"/>
      <c r="G573" s="19">
        <f>G574+G622+G627</f>
        <v>764794</v>
      </c>
    </row>
    <row r="574" spans="1:7" ht="36">
      <c r="A574" s="31" t="s">
        <v>87</v>
      </c>
      <c r="B574" s="53" t="s">
        <v>1180</v>
      </c>
      <c r="C574" s="17" t="s">
        <v>184</v>
      </c>
      <c r="D574" s="17" t="s">
        <v>118</v>
      </c>
      <c r="E574" s="17"/>
      <c r="F574" s="17"/>
      <c r="G574" s="19">
        <f>G575</f>
        <v>252413.1</v>
      </c>
    </row>
    <row r="575" spans="1:7" ht="15">
      <c r="A575" s="32" t="s">
        <v>328</v>
      </c>
      <c r="B575" s="53" t="s">
        <v>1180</v>
      </c>
      <c r="C575" s="17" t="s">
        <v>184</v>
      </c>
      <c r="D575" s="17" t="s">
        <v>118</v>
      </c>
      <c r="E575" s="17" t="s">
        <v>458</v>
      </c>
      <c r="F575" s="17"/>
      <c r="G575" s="19">
        <f>G576+G582</f>
        <v>252413.1</v>
      </c>
    </row>
    <row r="576" spans="1:7" ht="24">
      <c r="A576" s="36" t="s">
        <v>879</v>
      </c>
      <c r="B576" s="53" t="s">
        <v>1180</v>
      </c>
      <c r="C576" s="17" t="s">
        <v>184</v>
      </c>
      <c r="D576" s="17" t="s">
        <v>118</v>
      </c>
      <c r="E576" s="17" t="s">
        <v>880</v>
      </c>
      <c r="F576" s="17"/>
      <c r="G576" s="19">
        <f>G577+G580</f>
        <v>11929.8</v>
      </c>
    </row>
    <row r="577" spans="1:7" ht="24">
      <c r="A577" s="158" t="s">
        <v>486</v>
      </c>
      <c r="B577" s="53" t="s">
        <v>1180</v>
      </c>
      <c r="C577" s="17" t="s">
        <v>184</v>
      </c>
      <c r="D577" s="17" t="s">
        <v>118</v>
      </c>
      <c r="E577" s="17" t="s">
        <v>1324</v>
      </c>
      <c r="F577" s="17" t="s">
        <v>402</v>
      </c>
      <c r="G577" s="19">
        <f>G578</f>
        <v>11507.4</v>
      </c>
    </row>
    <row r="578" spans="1:7" ht="24">
      <c r="A578" s="158" t="s">
        <v>471</v>
      </c>
      <c r="B578" s="53" t="s">
        <v>1180</v>
      </c>
      <c r="C578" s="17" t="s">
        <v>184</v>
      </c>
      <c r="D578" s="17" t="s">
        <v>118</v>
      </c>
      <c r="E578" s="17" t="s">
        <v>1324</v>
      </c>
      <c r="F578" s="17" t="s">
        <v>1333</v>
      </c>
      <c r="G578" s="20">
        <f>11427.4+60+20</f>
        <v>11507.4</v>
      </c>
    </row>
    <row r="579" spans="1:7" ht="24" hidden="1">
      <c r="A579" s="158" t="s">
        <v>178</v>
      </c>
      <c r="B579" s="53" t="s">
        <v>1180</v>
      </c>
      <c r="C579" s="17" t="s">
        <v>184</v>
      </c>
      <c r="D579" s="17" t="s">
        <v>118</v>
      </c>
      <c r="E579" s="17" t="s">
        <v>1324</v>
      </c>
      <c r="F579" s="17" t="s">
        <v>516</v>
      </c>
      <c r="G579" s="20">
        <v>11427.4</v>
      </c>
    </row>
    <row r="580" spans="1:7" ht="24">
      <c r="A580" s="158" t="s">
        <v>486</v>
      </c>
      <c r="B580" s="53" t="s">
        <v>1180</v>
      </c>
      <c r="C580" s="17" t="s">
        <v>184</v>
      </c>
      <c r="D580" s="17" t="s">
        <v>118</v>
      </c>
      <c r="E580" s="17" t="s">
        <v>1206</v>
      </c>
      <c r="F580" s="17" t="s">
        <v>402</v>
      </c>
      <c r="G580" s="19">
        <f>G581</f>
        <v>422.4</v>
      </c>
    </row>
    <row r="581" spans="1:7" ht="24">
      <c r="A581" s="158" t="s">
        <v>827</v>
      </c>
      <c r="B581" s="53" t="s">
        <v>1180</v>
      </c>
      <c r="C581" s="17" t="s">
        <v>184</v>
      </c>
      <c r="D581" s="17" t="s">
        <v>118</v>
      </c>
      <c r="E581" s="17" t="s">
        <v>1206</v>
      </c>
      <c r="F581" s="17" t="s">
        <v>1333</v>
      </c>
      <c r="G581" s="20">
        <v>422.4</v>
      </c>
    </row>
    <row r="582" spans="1:7" ht="24">
      <c r="A582" s="36" t="s">
        <v>964</v>
      </c>
      <c r="B582" s="53" t="s">
        <v>1180</v>
      </c>
      <c r="C582" s="17" t="s">
        <v>184</v>
      </c>
      <c r="D582" s="17" t="s">
        <v>118</v>
      </c>
      <c r="E582" s="17" t="s">
        <v>527</v>
      </c>
      <c r="F582" s="17"/>
      <c r="G582" s="19">
        <f>G583+G607+G600+G614</f>
        <v>240483.30000000002</v>
      </c>
    </row>
    <row r="583" spans="1:7" ht="24">
      <c r="A583" s="18" t="s">
        <v>633</v>
      </c>
      <c r="B583" s="53" t="s">
        <v>1180</v>
      </c>
      <c r="C583" s="17" t="s">
        <v>184</v>
      </c>
      <c r="D583" s="17" t="s">
        <v>118</v>
      </c>
      <c r="E583" s="17" t="s">
        <v>1023</v>
      </c>
      <c r="F583" s="17" t="s">
        <v>1204</v>
      </c>
      <c r="G583" s="19">
        <f>G584+G588+G594+G597</f>
        <v>222805.7</v>
      </c>
    </row>
    <row r="584" spans="1:7" ht="37.5" customHeight="1">
      <c r="A584" s="158" t="s">
        <v>485</v>
      </c>
      <c r="B584" s="53" t="s">
        <v>1180</v>
      </c>
      <c r="C584" s="17" t="s">
        <v>184</v>
      </c>
      <c r="D584" s="17" t="s">
        <v>118</v>
      </c>
      <c r="E584" s="17" t="s">
        <v>1024</v>
      </c>
      <c r="F584" s="17" t="s">
        <v>21</v>
      </c>
      <c r="G584" s="19">
        <f>G585</f>
        <v>195720.30000000002</v>
      </c>
    </row>
    <row r="585" spans="1:7" ht="24">
      <c r="A585" s="158" t="s">
        <v>34</v>
      </c>
      <c r="B585" s="53" t="s">
        <v>1180</v>
      </c>
      <c r="C585" s="17" t="s">
        <v>184</v>
      </c>
      <c r="D585" s="17" t="s">
        <v>118</v>
      </c>
      <c r="E585" s="17" t="s">
        <v>1024</v>
      </c>
      <c r="F585" s="17" t="s">
        <v>416</v>
      </c>
      <c r="G585" s="20">
        <f>192844.6+2875.6+0.1</f>
        <v>195720.30000000002</v>
      </c>
    </row>
    <row r="586" spans="1:7" ht="15" hidden="1">
      <c r="A586" s="158" t="s">
        <v>812</v>
      </c>
      <c r="B586" s="53" t="s">
        <v>1180</v>
      </c>
      <c r="C586" s="17" t="s">
        <v>184</v>
      </c>
      <c r="D586" s="17" t="s">
        <v>118</v>
      </c>
      <c r="E586" s="17" t="s">
        <v>1024</v>
      </c>
      <c r="F586" s="17" t="s">
        <v>813</v>
      </c>
      <c r="G586" s="20">
        <v>192791.6</v>
      </c>
    </row>
    <row r="587" spans="1:7" ht="15" hidden="1">
      <c r="A587" s="18" t="s">
        <v>442</v>
      </c>
      <c r="B587" s="53" t="s">
        <v>1180</v>
      </c>
      <c r="C587" s="17" t="s">
        <v>184</v>
      </c>
      <c r="D587" s="17" t="s">
        <v>118</v>
      </c>
      <c r="E587" s="17" t="s">
        <v>1024</v>
      </c>
      <c r="F587" s="17" t="s">
        <v>950</v>
      </c>
      <c r="G587" s="20">
        <v>53</v>
      </c>
    </row>
    <row r="588" spans="1:7" ht="24">
      <c r="A588" s="158" t="s">
        <v>486</v>
      </c>
      <c r="B588" s="53" t="s">
        <v>1180</v>
      </c>
      <c r="C588" s="17" t="s">
        <v>184</v>
      </c>
      <c r="D588" s="17" t="s">
        <v>118</v>
      </c>
      <c r="E588" s="17" t="s">
        <v>1024</v>
      </c>
      <c r="F588" s="17" t="s">
        <v>402</v>
      </c>
      <c r="G588" s="19">
        <f>G589</f>
        <v>21889.1</v>
      </c>
    </row>
    <row r="589" spans="1:7" ht="17.25" customHeight="1">
      <c r="A589" s="158" t="s">
        <v>471</v>
      </c>
      <c r="B589" s="53" t="s">
        <v>1180</v>
      </c>
      <c r="C589" s="17" t="s">
        <v>184</v>
      </c>
      <c r="D589" s="17" t="s">
        <v>118</v>
      </c>
      <c r="E589" s="17" t="s">
        <v>1024</v>
      </c>
      <c r="F589" s="17" t="s">
        <v>1333</v>
      </c>
      <c r="G589" s="20">
        <f>22314-805+2200-960-520-200-100-39.9</f>
        <v>21889.1</v>
      </c>
    </row>
    <row r="590" spans="1:7" ht="24" hidden="1">
      <c r="A590" s="158" t="s">
        <v>178</v>
      </c>
      <c r="B590" s="53" t="s">
        <v>1180</v>
      </c>
      <c r="C590" s="17" t="s">
        <v>184</v>
      </c>
      <c r="D590" s="17" t="s">
        <v>118</v>
      </c>
      <c r="E590" s="17" t="s">
        <v>1024</v>
      </c>
      <c r="F590" s="17" t="s">
        <v>516</v>
      </c>
      <c r="G590" s="20"/>
    </row>
    <row r="591" spans="1:7" ht="24" hidden="1">
      <c r="A591" s="158" t="s">
        <v>52</v>
      </c>
      <c r="B591" s="53" t="s">
        <v>1180</v>
      </c>
      <c r="C591" s="17" t="s">
        <v>184</v>
      </c>
      <c r="D591" s="17" t="s">
        <v>118</v>
      </c>
      <c r="E591" s="17" t="s">
        <v>1024</v>
      </c>
      <c r="F591" s="17" t="s">
        <v>465</v>
      </c>
      <c r="G591" s="20"/>
    </row>
    <row r="592" spans="1:7" ht="15" hidden="1">
      <c r="A592" s="158" t="s">
        <v>233</v>
      </c>
      <c r="B592" s="53" t="s">
        <v>1180</v>
      </c>
      <c r="C592" s="17" t="s">
        <v>184</v>
      </c>
      <c r="D592" s="17" t="s">
        <v>118</v>
      </c>
      <c r="E592" s="17" t="s">
        <v>1024</v>
      </c>
      <c r="F592" s="17" t="s">
        <v>234</v>
      </c>
      <c r="G592" s="20"/>
    </row>
    <row r="593" spans="1:7" ht="18" customHeight="1" hidden="1">
      <c r="A593" s="158" t="s">
        <v>1455</v>
      </c>
      <c r="B593" s="53" t="s">
        <v>1180</v>
      </c>
      <c r="C593" s="17" t="s">
        <v>184</v>
      </c>
      <c r="D593" s="17" t="s">
        <v>118</v>
      </c>
      <c r="E593" s="17" t="s">
        <v>1024</v>
      </c>
      <c r="F593" s="17" t="s">
        <v>1188</v>
      </c>
      <c r="G593" s="20"/>
    </row>
    <row r="594" spans="1:7" ht="18" customHeight="1">
      <c r="A594" s="158" t="s">
        <v>1189</v>
      </c>
      <c r="B594" s="53" t="s">
        <v>1180</v>
      </c>
      <c r="C594" s="17" t="s">
        <v>184</v>
      </c>
      <c r="D594" s="17" t="s">
        <v>118</v>
      </c>
      <c r="E594" s="17" t="s">
        <v>1024</v>
      </c>
      <c r="F594" s="17" t="s">
        <v>1190</v>
      </c>
      <c r="G594" s="19">
        <f>G595</f>
        <v>10</v>
      </c>
    </row>
    <row r="595" spans="1:7" ht="18" customHeight="1">
      <c r="A595" s="158" t="s">
        <v>1059</v>
      </c>
      <c r="B595" s="53" t="s">
        <v>1180</v>
      </c>
      <c r="C595" s="17" t="s">
        <v>184</v>
      </c>
      <c r="D595" s="17" t="s">
        <v>118</v>
      </c>
      <c r="E595" s="17" t="s">
        <v>1024</v>
      </c>
      <c r="F595" s="17" t="s">
        <v>1060</v>
      </c>
      <c r="G595" s="20">
        <v>10</v>
      </c>
    </row>
    <row r="596" spans="1:7" ht="15" hidden="1">
      <c r="A596" s="18" t="s">
        <v>513</v>
      </c>
      <c r="B596" s="53" t="s">
        <v>1180</v>
      </c>
      <c r="C596" s="17" t="s">
        <v>184</v>
      </c>
      <c r="D596" s="17" t="s">
        <v>118</v>
      </c>
      <c r="E596" s="17" t="s">
        <v>1024</v>
      </c>
      <c r="F596" s="17" t="s">
        <v>514</v>
      </c>
      <c r="G596" s="20">
        <v>10</v>
      </c>
    </row>
    <row r="597" spans="1:7" ht="24">
      <c r="A597" s="158" t="s">
        <v>1189</v>
      </c>
      <c r="B597" s="53" t="s">
        <v>1180</v>
      </c>
      <c r="C597" s="17" t="s">
        <v>184</v>
      </c>
      <c r="D597" s="17" t="s">
        <v>118</v>
      </c>
      <c r="E597" s="17" t="s">
        <v>1027</v>
      </c>
      <c r="F597" s="17" t="s">
        <v>1190</v>
      </c>
      <c r="G597" s="19">
        <f>G598</f>
        <v>5186.299999999999</v>
      </c>
    </row>
    <row r="598" spans="1:7" ht="24">
      <c r="A598" s="158" t="s">
        <v>1059</v>
      </c>
      <c r="B598" s="53" t="s">
        <v>1180</v>
      </c>
      <c r="C598" s="17" t="s">
        <v>184</v>
      </c>
      <c r="D598" s="17" t="s">
        <v>118</v>
      </c>
      <c r="E598" s="17" t="s">
        <v>1027</v>
      </c>
      <c r="F598" s="17" t="s">
        <v>1060</v>
      </c>
      <c r="G598" s="20">
        <f>5146.5-0.1+39.9</f>
        <v>5186.299999999999</v>
      </c>
    </row>
    <row r="599" spans="1:7" ht="15" customHeight="1" hidden="1">
      <c r="A599" s="18" t="s">
        <v>819</v>
      </c>
      <c r="B599" s="53" t="s">
        <v>1180</v>
      </c>
      <c r="C599" s="17" t="s">
        <v>184</v>
      </c>
      <c r="D599" s="17" t="s">
        <v>118</v>
      </c>
      <c r="E599" s="17" t="s">
        <v>1027</v>
      </c>
      <c r="F599" s="17" t="s">
        <v>543</v>
      </c>
      <c r="G599" s="20">
        <v>5146.5</v>
      </c>
    </row>
    <row r="600" spans="1:7" ht="60">
      <c r="A600" s="18" t="s">
        <v>954</v>
      </c>
      <c r="B600" s="53" t="s">
        <v>1180</v>
      </c>
      <c r="C600" s="17" t="s">
        <v>184</v>
      </c>
      <c r="D600" s="17" t="s">
        <v>118</v>
      </c>
      <c r="E600" s="17" t="s">
        <v>1028</v>
      </c>
      <c r="F600" s="17" t="s">
        <v>1204</v>
      </c>
      <c r="G600" s="19">
        <f>G601+G604</f>
        <v>8410.599999999999</v>
      </c>
    </row>
    <row r="601" spans="1:7" ht="48">
      <c r="A601" s="158" t="s">
        <v>485</v>
      </c>
      <c r="B601" s="53" t="s">
        <v>1180</v>
      </c>
      <c r="C601" s="17" t="s">
        <v>184</v>
      </c>
      <c r="D601" s="17" t="s">
        <v>118</v>
      </c>
      <c r="E601" s="17" t="s">
        <v>1028</v>
      </c>
      <c r="F601" s="17" t="s">
        <v>21</v>
      </c>
      <c r="G601" s="19">
        <f>G602</f>
        <v>5719.099999999999</v>
      </c>
    </row>
    <row r="602" spans="1:7" ht="24">
      <c r="A602" s="158" t="s">
        <v>34</v>
      </c>
      <c r="B602" s="53" t="s">
        <v>1180</v>
      </c>
      <c r="C602" s="17" t="s">
        <v>184</v>
      </c>
      <c r="D602" s="17" t="s">
        <v>118</v>
      </c>
      <c r="E602" s="17" t="s">
        <v>1028</v>
      </c>
      <c r="F602" s="17" t="s">
        <v>416</v>
      </c>
      <c r="G602" s="20">
        <f>5692.4+26.7</f>
        <v>5719.099999999999</v>
      </c>
    </row>
    <row r="603" spans="1:7" ht="15" hidden="1">
      <c r="A603" s="158" t="s">
        <v>812</v>
      </c>
      <c r="B603" s="53" t="s">
        <v>1180</v>
      </c>
      <c r="C603" s="17" t="s">
        <v>184</v>
      </c>
      <c r="D603" s="17" t="s">
        <v>118</v>
      </c>
      <c r="E603" s="17" t="s">
        <v>1028</v>
      </c>
      <c r="F603" s="17" t="s">
        <v>813</v>
      </c>
      <c r="G603" s="20">
        <f>4372+1320.4</f>
        <v>5692.4</v>
      </c>
    </row>
    <row r="604" spans="1:7" ht="24">
      <c r="A604" s="158" t="s">
        <v>486</v>
      </c>
      <c r="B604" s="53" t="s">
        <v>1180</v>
      </c>
      <c r="C604" s="17" t="s">
        <v>184</v>
      </c>
      <c r="D604" s="17" t="s">
        <v>118</v>
      </c>
      <c r="E604" s="17" t="s">
        <v>1028</v>
      </c>
      <c r="F604" s="17" t="s">
        <v>402</v>
      </c>
      <c r="G604" s="19">
        <f>G605</f>
        <v>2691.5</v>
      </c>
    </row>
    <row r="605" spans="1:7" ht="24">
      <c r="A605" s="158" t="s">
        <v>471</v>
      </c>
      <c r="B605" s="53" t="s">
        <v>1180</v>
      </c>
      <c r="C605" s="17" t="s">
        <v>184</v>
      </c>
      <c r="D605" s="17" t="s">
        <v>118</v>
      </c>
      <c r="E605" s="17" t="s">
        <v>1028</v>
      </c>
      <c r="F605" s="17" t="s">
        <v>1333</v>
      </c>
      <c r="G605" s="20">
        <f>2718.2-26.7</f>
        <v>2691.5</v>
      </c>
    </row>
    <row r="606" spans="1:7" ht="15" hidden="1">
      <c r="A606" s="158" t="s">
        <v>233</v>
      </c>
      <c r="B606" s="53" t="s">
        <v>1180</v>
      </c>
      <c r="C606" s="17" t="s">
        <v>184</v>
      </c>
      <c r="D606" s="17" t="s">
        <v>118</v>
      </c>
      <c r="E606" s="17" t="s">
        <v>1028</v>
      </c>
      <c r="F606" s="17" t="s">
        <v>234</v>
      </c>
      <c r="G606" s="20">
        <v>2718.2</v>
      </c>
    </row>
    <row r="607" spans="1:7" ht="36">
      <c r="A607" s="158" t="s">
        <v>1373</v>
      </c>
      <c r="B607" s="53" t="s">
        <v>1180</v>
      </c>
      <c r="C607" s="17" t="s">
        <v>184</v>
      </c>
      <c r="D607" s="17" t="s">
        <v>118</v>
      </c>
      <c r="E607" s="17" t="s">
        <v>1029</v>
      </c>
      <c r="F607" s="17" t="s">
        <v>1204</v>
      </c>
      <c r="G607" s="19">
        <f>G608+G611</f>
        <v>4431</v>
      </c>
    </row>
    <row r="608" spans="1:7" ht="48">
      <c r="A608" s="158" t="s">
        <v>485</v>
      </c>
      <c r="B608" s="53" t="s">
        <v>1180</v>
      </c>
      <c r="C608" s="17" t="s">
        <v>184</v>
      </c>
      <c r="D608" s="17" t="s">
        <v>118</v>
      </c>
      <c r="E608" s="17" t="s">
        <v>1029</v>
      </c>
      <c r="F608" s="17" t="s">
        <v>21</v>
      </c>
      <c r="G608" s="19">
        <f>G609</f>
        <v>3942.8</v>
      </c>
    </row>
    <row r="609" spans="1:7" ht="25.5" customHeight="1">
      <c r="A609" s="158" t="s">
        <v>34</v>
      </c>
      <c r="B609" s="53" t="s">
        <v>1180</v>
      </c>
      <c r="C609" s="17" t="s">
        <v>184</v>
      </c>
      <c r="D609" s="17" t="s">
        <v>118</v>
      </c>
      <c r="E609" s="17" t="s">
        <v>1029</v>
      </c>
      <c r="F609" s="17" t="s">
        <v>416</v>
      </c>
      <c r="G609" s="20">
        <v>3942.8</v>
      </c>
    </row>
    <row r="610" spans="1:7" ht="23.25" customHeight="1" hidden="1">
      <c r="A610" s="158" t="s">
        <v>812</v>
      </c>
      <c r="B610" s="53" t="s">
        <v>1180</v>
      </c>
      <c r="C610" s="17" t="s">
        <v>184</v>
      </c>
      <c r="D610" s="17" t="s">
        <v>118</v>
      </c>
      <c r="E610" s="17" t="s">
        <v>1029</v>
      </c>
      <c r="F610" s="17" t="s">
        <v>813</v>
      </c>
      <c r="G610" s="20">
        <v>3942.8</v>
      </c>
    </row>
    <row r="611" spans="1:7" ht="23.25" customHeight="1">
      <c r="A611" s="158" t="s">
        <v>486</v>
      </c>
      <c r="B611" s="53" t="s">
        <v>1180</v>
      </c>
      <c r="C611" s="17" t="s">
        <v>184</v>
      </c>
      <c r="D611" s="17" t="s">
        <v>118</v>
      </c>
      <c r="E611" s="17" t="s">
        <v>1029</v>
      </c>
      <c r="F611" s="17" t="s">
        <v>402</v>
      </c>
      <c r="G611" s="19">
        <f>G612</f>
        <v>488.2</v>
      </c>
    </row>
    <row r="612" spans="1:7" ht="20.25" customHeight="1">
      <c r="A612" s="158" t="s">
        <v>471</v>
      </c>
      <c r="B612" s="53" t="s">
        <v>1180</v>
      </c>
      <c r="C612" s="17" t="s">
        <v>184</v>
      </c>
      <c r="D612" s="17" t="s">
        <v>118</v>
      </c>
      <c r="E612" s="17" t="s">
        <v>1029</v>
      </c>
      <c r="F612" s="17" t="s">
        <v>1333</v>
      </c>
      <c r="G612" s="20">
        <v>488.2</v>
      </c>
    </row>
    <row r="613" spans="1:7" ht="20.25" customHeight="1" hidden="1">
      <c r="A613" s="158" t="s">
        <v>233</v>
      </c>
      <c r="B613" s="53" t="s">
        <v>1180</v>
      </c>
      <c r="C613" s="17" t="s">
        <v>184</v>
      </c>
      <c r="D613" s="17" t="s">
        <v>118</v>
      </c>
      <c r="E613" s="17" t="s">
        <v>1029</v>
      </c>
      <c r="F613" s="17" t="s">
        <v>234</v>
      </c>
      <c r="G613" s="20">
        <v>488.2</v>
      </c>
    </row>
    <row r="614" spans="1:7" ht="48">
      <c r="A614" s="158" t="s">
        <v>1150</v>
      </c>
      <c r="B614" s="53" t="s">
        <v>1180</v>
      </c>
      <c r="C614" s="17" t="s">
        <v>184</v>
      </c>
      <c r="D614" s="17" t="s">
        <v>118</v>
      </c>
      <c r="E614" s="17" t="s">
        <v>1030</v>
      </c>
      <c r="F614" s="17" t="s">
        <v>1204</v>
      </c>
      <c r="G614" s="19">
        <f>G615+G618</f>
        <v>4836</v>
      </c>
    </row>
    <row r="615" spans="1:7" ht="48">
      <c r="A615" s="158" t="s">
        <v>485</v>
      </c>
      <c r="B615" s="53" t="s">
        <v>1180</v>
      </c>
      <c r="C615" s="17" t="s">
        <v>184</v>
      </c>
      <c r="D615" s="17" t="s">
        <v>118</v>
      </c>
      <c r="E615" s="17" t="s">
        <v>1030</v>
      </c>
      <c r="F615" s="17" t="s">
        <v>21</v>
      </c>
      <c r="G615" s="19">
        <f>G616</f>
        <v>3951.6</v>
      </c>
    </row>
    <row r="616" spans="1:7" ht="24">
      <c r="A616" s="158" t="s">
        <v>34</v>
      </c>
      <c r="B616" s="53" t="s">
        <v>1180</v>
      </c>
      <c r="C616" s="17" t="s">
        <v>184</v>
      </c>
      <c r="D616" s="17" t="s">
        <v>118</v>
      </c>
      <c r="E616" s="17" t="s">
        <v>1030</v>
      </c>
      <c r="F616" s="17" t="s">
        <v>416</v>
      </c>
      <c r="G616" s="20">
        <f>3823.4+119.5+36.1-27.4</f>
        <v>3951.6</v>
      </c>
    </row>
    <row r="617" spans="1:7" ht="15" hidden="1">
      <c r="A617" s="158" t="s">
        <v>812</v>
      </c>
      <c r="B617" s="53" t="s">
        <v>1180</v>
      </c>
      <c r="C617" s="17" t="s">
        <v>184</v>
      </c>
      <c r="D617" s="17" t="s">
        <v>118</v>
      </c>
      <c r="E617" s="17" t="s">
        <v>1030</v>
      </c>
      <c r="F617" s="17" t="s">
        <v>813</v>
      </c>
      <c r="G617" s="20">
        <v>3823.4</v>
      </c>
    </row>
    <row r="618" spans="1:7" ht="24">
      <c r="A618" s="158" t="s">
        <v>486</v>
      </c>
      <c r="B618" s="53" t="s">
        <v>1180</v>
      </c>
      <c r="C618" s="17" t="s">
        <v>184</v>
      </c>
      <c r="D618" s="17" t="s">
        <v>118</v>
      </c>
      <c r="E618" s="17" t="s">
        <v>1030</v>
      </c>
      <c r="F618" s="17" t="s">
        <v>402</v>
      </c>
      <c r="G618" s="19">
        <f>G619</f>
        <v>884.4</v>
      </c>
    </row>
    <row r="619" spans="1:7" ht="15.75" customHeight="1">
      <c r="A619" s="158" t="s">
        <v>471</v>
      </c>
      <c r="B619" s="53" t="s">
        <v>1180</v>
      </c>
      <c r="C619" s="17" t="s">
        <v>184</v>
      </c>
      <c r="D619" s="17" t="s">
        <v>118</v>
      </c>
      <c r="E619" s="17" t="s">
        <v>1030</v>
      </c>
      <c r="F619" s="17" t="s">
        <v>1333</v>
      </c>
      <c r="G619" s="20">
        <f>1012.6-155.6+27.4</f>
        <v>884.4</v>
      </c>
    </row>
    <row r="620" spans="1:7" ht="22.5" customHeight="1" hidden="1">
      <c r="A620" s="158" t="s">
        <v>233</v>
      </c>
      <c r="B620" s="53" t="s">
        <v>1180</v>
      </c>
      <c r="C620" s="17" t="s">
        <v>184</v>
      </c>
      <c r="D620" s="17" t="s">
        <v>118</v>
      </c>
      <c r="E620" s="17" t="s">
        <v>1030</v>
      </c>
      <c r="F620" s="17" t="s">
        <v>234</v>
      </c>
      <c r="G620" s="20">
        <v>1012.6</v>
      </c>
    </row>
    <row r="621" spans="1:7" ht="17.25" customHeight="1" hidden="1">
      <c r="A621" s="18" t="s">
        <v>876</v>
      </c>
      <c r="B621" s="53" t="s">
        <v>1180</v>
      </c>
      <c r="C621" s="17" t="s">
        <v>184</v>
      </c>
      <c r="D621" s="17" t="s">
        <v>806</v>
      </c>
      <c r="E621" s="17" t="s">
        <v>875</v>
      </c>
      <c r="F621" s="17" t="s">
        <v>877</v>
      </c>
      <c r="G621" s="20"/>
    </row>
    <row r="622" spans="1:7" ht="15">
      <c r="A622" s="31" t="s">
        <v>1209</v>
      </c>
      <c r="B622" s="53" t="s">
        <v>1180</v>
      </c>
      <c r="C622" s="17" t="s">
        <v>184</v>
      </c>
      <c r="D622" s="17" t="s">
        <v>49</v>
      </c>
      <c r="E622" s="17"/>
      <c r="F622" s="17"/>
      <c r="G622" s="19">
        <f>G623</f>
        <v>3793.8</v>
      </c>
    </row>
    <row r="623" spans="1:7" ht="15">
      <c r="A623" s="33" t="s">
        <v>1209</v>
      </c>
      <c r="B623" s="53" t="s">
        <v>1180</v>
      </c>
      <c r="C623" s="17" t="s">
        <v>184</v>
      </c>
      <c r="D623" s="17" t="s">
        <v>49</v>
      </c>
      <c r="E623" s="17" t="s">
        <v>480</v>
      </c>
      <c r="F623" s="17"/>
      <c r="G623" s="19">
        <f>G624</f>
        <v>3793.8</v>
      </c>
    </row>
    <row r="624" spans="1:7" ht="24">
      <c r="A624" s="18" t="s">
        <v>352</v>
      </c>
      <c r="B624" s="53" t="s">
        <v>1180</v>
      </c>
      <c r="C624" s="17" t="s">
        <v>184</v>
      </c>
      <c r="D624" s="17" t="s">
        <v>49</v>
      </c>
      <c r="E624" s="17" t="s">
        <v>481</v>
      </c>
      <c r="F624" s="17" t="s">
        <v>1204</v>
      </c>
      <c r="G624" s="19">
        <f>G625</f>
        <v>3793.8</v>
      </c>
    </row>
    <row r="625" spans="1:7" ht="24">
      <c r="A625" s="158" t="s">
        <v>1189</v>
      </c>
      <c r="B625" s="53" t="s">
        <v>1180</v>
      </c>
      <c r="C625" s="17" t="s">
        <v>184</v>
      </c>
      <c r="D625" s="17" t="s">
        <v>49</v>
      </c>
      <c r="E625" s="17" t="s">
        <v>481</v>
      </c>
      <c r="F625" s="17" t="s">
        <v>1190</v>
      </c>
      <c r="G625" s="19">
        <f>G626</f>
        <v>3793.8</v>
      </c>
    </row>
    <row r="626" spans="1:7" ht="15.75" customHeight="1">
      <c r="A626" s="18" t="s">
        <v>231</v>
      </c>
      <c r="B626" s="53" t="s">
        <v>1180</v>
      </c>
      <c r="C626" s="17" t="s">
        <v>184</v>
      </c>
      <c r="D626" s="17" t="s">
        <v>49</v>
      </c>
      <c r="E626" s="17" t="s">
        <v>481</v>
      </c>
      <c r="F626" s="17" t="s">
        <v>232</v>
      </c>
      <c r="G626" s="20">
        <f>4647.8-854</f>
        <v>3793.8</v>
      </c>
    </row>
    <row r="627" spans="1:7" ht="15">
      <c r="A627" s="31" t="s">
        <v>865</v>
      </c>
      <c r="B627" s="53" t="s">
        <v>1180</v>
      </c>
      <c r="C627" s="17" t="s">
        <v>184</v>
      </c>
      <c r="D627" s="17" t="s">
        <v>756</v>
      </c>
      <c r="E627" s="17"/>
      <c r="F627" s="17"/>
      <c r="G627" s="19">
        <f>G628+G633</f>
        <v>508587.1</v>
      </c>
    </row>
    <row r="628" spans="1:7" ht="30" customHeight="1">
      <c r="A628" s="33" t="s">
        <v>561</v>
      </c>
      <c r="B628" s="53" t="s">
        <v>1180</v>
      </c>
      <c r="C628" s="17" t="s">
        <v>184</v>
      </c>
      <c r="D628" s="17" t="s">
        <v>756</v>
      </c>
      <c r="E628" s="17" t="s">
        <v>1399</v>
      </c>
      <c r="F628" s="17"/>
      <c r="G628" s="19">
        <f>G629</f>
        <v>2562</v>
      </c>
    </row>
    <row r="629" spans="1:7" ht="25.5" customHeight="1">
      <c r="A629" s="18" t="s">
        <v>1288</v>
      </c>
      <c r="B629" s="53" t="s">
        <v>1180</v>
      </c>
      <c r="C629" s="17" t="s">
        <v>184</v>
      </c>
      <c r="D629" s="17" t="s">
        <v>756</v>
      </c>
      <c r="E629" s="17" t="s">
        <v>366</v>
      </c>
      <c r="F629" s="17"/>
      <c r="G629" s="19">
        <f>G630</f>
        <v>2562</v>
      </c>
    </row>
    <row r="630" spans="1:7" ht="24">
      <c r="A630" s="18" t="s">
        <v>1189</v>
      </c>
      <c r="B630" s="53" t="s">
        <v>1180</v>
      </c>
      <c r="C630" s="17" t="s">
        <v>184</v>
      </c>
      <c r="D630" s="17" t="s">
        <v>756</v>
      </c>
      <c r="E630" s="17" t="s">
        <v>367</v>
      </c>
      <c r="F630" s="17" t="s">
        <v>1190</v>
      </c>
      <c r="G630" s="19">
        <f>G631</f>
        <v>2562</v>
      </c>
    </row>
    <row r="631" spans="1:7" ht="32.25" customHeight="1">
      <c r="A631" s="36" t="s">
        <v>947</v>
      </c>
      <c r="B631" s="53" t="s">
        <v>1180</v>
      </c>
      <c r="C631" s="17" t="s">
        <v>184</v>
      </c>
      <c r="D631" s="17" t="s">
        <v>756</v>
      </c>
      <c r="E631" s="17" t="s">
        <v>367</v>
      </c>
      <c r="F631" s="17" t="s">
        <v>467</v>
      </c>
      <c r="G631" s="19">
        <f>G632</f>
        <v>2562</v>
      </c>
    </row>
    <row r="632" spans="1:7" ht="48">
      <c r="A632" s="36" t="s">
        <v>1481</v>
      </c>
      <c r="B632" s="53" t="s">
        <v>1180</v>
      </c>
      <c r="C632" s="17" t="s">
        <v>184</v>
      </c>
      <c r="D632" s="17" t="s">
        <v>756</v>
      </c>
      <c r="E632" s="17" t="s">
        <v>367</v>
      </c>
      <c r="F632" s="17" t="s">
        <v>467</v>
      </c>
      <c r="G632" s="20">
        <f>2367.5+194.5</f>
        <v>2562</v>
      </c>
    </row>
    <row r="633" spans="1:7" ht="15">
      <c r="A633" s="32" t="s">
        <v>328</v>
      </c>
      <c r="B633" s="53" t="s">
        <v>1180</v>
      </c>
      <c r="C633" s="17" t="s">
        <v>184</v>
      </c>
      <c r="D633" s="17" t="s">
        <v>756</v>
      </c>
      <c r="E633" s="17" t="s">
        <v>458</v>
      </c>
      <c r="F633" s="17"/>
      <c r="G633" s="19">
        <f>G634+G643+G657+G671+G680+G693</f>
        <v>506025.1</v>
      </c>
    </row>
    <row r="634" spans="1:7" ht="24">
      <c r="A634" s="36" t="s">
        <v>964</v>
      </c>
      <c r="B634" s="53" t="s">
        <v>1180</v>
      </c>
      <c r="C634" s="17" t="s">
        <v>184</v>
      </c>
      <c r="D634" s="17" t="s">
        <v>756</v>
      </c>
      <c r="E634" s="17" t="s">
        <v>527</v>
      </c>
      <c r="F634" s="17"/>
      <c r="G634" s="19">
        <f>G635+G637</f>
        <v>33268</v>
      </c>
    </row>
    <row r="635" spans="1:7" ht="24">
      <c r="A635" s="158" t="s">
        <v>486</v>
      </c>
      <c r="B635" s="53" t="s">
        <v>1180</v>
      </c>
      <c r="C635" s="17" t="s">
        <v>184</v>
      </c>
      <c r="D635" s="17" t="s">
        <v>756</v>
      </c>
      <c r="E635" s="17" t="s">
        <v>528</v>
      </c>
      <c r="F635" s="17" t="s">
        <v>402</v>
      </c>
      <c r="G635" s="19">
        <f>G636</f>
        <v>1901</v>
      </c>
    </row>
    <row r="636" spans="1:7" ht="24">
      <c r="A636" s="158" t="s">
        <v>471</v>
      </c>
      <c r="B636" s="53" t="s">
        <v>1180</v>
      </c>
      <c r="C636" s="17" t="s">
        <v>184</v>
      </c>
      <c r="D636" s="17" t="s">
        <v>756</v>
      </c>
      <c r="E636" s="17" t="s">
        <v>528</v>
      </c>
      <c r="F636" s="17" t="s">
        <v>1333</v>
      </c>
      <c r="G636" s="20">
        <f>992+30+100+201+400+100+78</f>
        <v>1901</v>
      </c>
    </row>
    <row r="637" spans="1:7" ht="24">
      <c r="A637" s="158" t="s">
        <v>1189</v>
      </c>
      <c r="B637" s="53" t="s">
        <v>1180</v>
      </c>
      <c r="C637" s="17" t="s">
        <v>184</v>
      </c>
      <c r="D637" s="17" t="s">
        <v>756</v>
      </c>
      <c r="E637" s="17" t="s">
        <v>528</v>
      </c>
      <c r="F637" s="17" t="s">
        <v>1190</v>
      </c>
      <c r="G637" s="19">
        <f>G638+G640+G642</f>
        <v>31367</v>
      </c>
    </row>
    <row r="638" spans="1:7" ht="24">
      <c r="A638" s="158" t="s">
        <v>1304</v>
      </c>
      <c r="B638" s="53" t="s">
        <v>1180</v>
      </c>
      <c r="C638" s="17" t="s">
        <v>184</v>
      </c>
      <c r="D638" s="17" t="s">
        <v>756</v>
      </c>
      <c r="E638" s="17" t="s">
        <v>528</v>
      </c>
      <c r="F638" s="17" t="s">
        <v>1305</v>
      </c>
      <c r="G638" s="20">
        <f>730+20712.6</f>
        <v>21442.6</v>
      </c>
    </row>
    <row r="639" spans="1:7" ht="48" hidden="1">
      <c r="A639" s="36" t="s">
        <v>1455</v>
      </c>
      <c r="B639" s="53" t="s">
        <v>1180</v>
      </c>
      <c r="C639" s="17" t="s">
        <v>184</v>
      </c>
      <c r="D639" s="17" t="s">
        <v>756</v>
      </c>
      <c r="E639" s="17" t="s">
        <v>528</v>
      </c>
      <c r="F639" s="17" t="s">
        <v>1188</v>
      </c>
      <c r="G639" s="20">
        <v>500</v>
      </c>
    </row>
    <row r="640" spans="1:7" ht="24">
      <c r="A640" s="158" t="s">
        <v>1059</v>
      </c>
      <c r="B640" s="53" t="s">
        <v>1180</v>
      </c>
      <c r="C640" s="17" t="s">
        <v>184</v>
      </c>
      <c r="D640" s="17" t="s">
        <v>756</v>
      </c>
      <c r="E640" s="17" t="s">
        <v>528</v>
      </c>
      <c r="F640" s="17" t="s">
        <v>1060</v>
      </c>
      <c r="G640" s="20">
        <f>500+20+85+100+100</f>
        <v>805</v>
      </c>
    </row>
    <row r="641" spans="1:7" ht="15" hidden="1">
      <c r="A641" s="159" t="s">
        <v>513</v>
      </c>
      <c r="B641" s="53" t="s">
        <v>1180</v>
      </c>
      <c r="C641" s="17" t="s">
        <v>184</v>
      </c>
      <c r="D641" s="17" t="s">
        <v>756</v>
      </c>
      <c r="E641" s="17" t="s">
        <v>528</v>
      </c>
      <c r="F641" s="17" t="s">
        <v>514</v>
      </c>
      <c r="G641" s="20">
        <v>500</v>
      </c>
    </row>
    <row r="642" spans="1:7" ht="24">
      <c r="A642" s="36" t="s">
        <v>1191</v>
      </c>
      <c r="B642" s="53" t="s">
        <v>1180</v>
      </c>
      <c r="C642" s="17" t="s">
        <v>184</v>
      </c>
      <c r="D642" s="17" t="s">
        <v>756</v>
      </c>
      <c r="E642" s="17" t="s">
        <v>528</v>
      </c>
      <c r="F642" s="17" t="s">
        <v>1192</v>
      </c>
      <c r="G642" s="20">
        <f>8923.4+100+96</f>
        <v>9119.4</v>
      </c>
    </row>
    <row r="643" spans="1:7" ht="24">
      <c r="A643" s="36" t="s">
        <v>945</v>
      </c>
      <c r="B643" s="53" t="s">
        <v>1180</v>
      </c>
      <c r="C643" s="17" t="s">
        <v>184</v>
      </c>
      <c r="D643" s="17" t="s">
        <v>756</v>
      </c>
      <c r="E643" s="17" t="s">
        <v>946</v>
      </c>
      <c r="F643" s="17"/>
      <c r="G643" s="19">
        <f>G644+G647+G651+G653+G655</f>
        <v>42128.2</v>
      </c>
    </row>
    <row r="644" spans="1:7" ht="48">
      <c r="A644" s="158" t="s">
        <v>485</v>
      </c>
      <c r="B644" s="53" t="s">
        <v>1180</v>
      </c>
      <c r="C644" s="17" t="s">
        <v>184</v>
      </c>
      <c r="D644" s="17" t="s">
        <v>756</v>
      </c>
      <c r="E644" s="17" t="s">
        <v>482</v>
      </c>
      <c r="F644" s="17" t="s">
        <v>21</v>
      </c>
      <c r="G644" s="19">
        <f>G645</f>
        <v>3257.8</v>
      </c>
    </row>
    <row r="645" spans="1:7" ht="24">
      <c r="A645" s="36" t="s">
        <v>310</v>
      </c>
      <c r="B645" s="53" t="s">
        <v>1180</v>
      </c>
      <c r="C645" s="17" t="s">
        <v>184</v>
      </c>
      <c r="D645" s="17" t="s">
        <v>756</v>
      </c>
      <c r="E645" s="17" t="s">
        <v>482</v>
      </c>
      <c r="F645" s="17" t="s">
        <v>311</v>
      </c>
      <c r="G645" s="20">
        <f>3246-1.1-0.1+13</f>
        <v>3257.8</v>
      </c>
    </row>
    <row r="646" spans="1:7" ht="15" hidden="1">
      <c r="A646" s="18" t="s">
        <v>812</v>
      </c>
      <c r="B646" s="53" t="s">
        <v>1180</v>
      </c>
      <c r="C646" s="17" t="s">
        <v>184</v>
      </c>
      <c r="D646" s="17" t="s">
        <v>756</v>
      </c>
      <c r="E646" s="17" t="s">
        <v>482</v>
      </c>
      <c r="F646" s="17" t="s">
        <v>544</v>
      </c>
      <c r="G646" s="20">
        <v>3268</v>
      </c>
    </row>
    <row r="647" spans="1:7" ht="24">
      <c r="A647" s="158" t="s">
        <v>486</v>
      </c>
      <c r="B647" s="53" t="s">
        <v>1180</v>
      </c>
      <c r="C647" s="17" t="s">
        <v>184</v>
      </c>
      <c r="D647" s="17" t="s">
        <v>756</v>
      </c>
      <c r="E647" s="17" t="s">
        <v>482</v>
      </c>
      <c r="F647" s="17" t="s">
        <v>402</v>
      </c>
      <c r="G647" s="19">
        <f>G648</f>
        <v>1849.7</v>
      </c>
    </row>
    <row r="648" spans="1:7" ht="24">
      <c r="A648" s="158" t="s">
        <v>471</v>
      </c>
      <c r="B648" s="53" t="s">
        <v>1180</v>
      </c>
      <c r="C648" s="17" t="s">
        <v>184</v>
      </c>
      <c r="D648" s="17" t="s">
        <v>756</v>
      </c>
      <c r="E648" s="17" t="s">
        <v>482</v>
      </c>
      <c r="F648" s="17" t="s">
        <v>1333</v>
      </c>
      <c r="G648" s="20">
        <f>1720+37.3+10.4-293.5+161+85.5+129</f>
        <v>1849.7</v>
      </c>
    </row>
    <row r="649" spans="1:7" ht="24" hidden="1">
      <c r="A649" s="158" t="s">
        <v>178</v>
      </c>
      <c r="B649" s="53" t="s">
        <v>1180</v>
      </c>
      <c r="C649" s="17" t="s">
        <v>184</v>
      </c>
      <c r="D649" s="17" t="s">
        <v>756</v>
      </c>
      <c r="E649" s="17" t="s">
        <v>482</v>
      </c>
      <c r="F649" s="17" t="s">
        <v>516</v>
      </c>
      <c r="G649" s="20"/>
    </row>
    <row r="650" spans="1:7" ht="15" hidden="1">
      <c r="A650" s="158" t="s">
        <v>233</v>
      </c>
      <c r="B650" s="53" t="s">
        <v>1180</v>
      </c>
      <c r="C650" s="17" t="s">
        <v>184</v>
      </c>
      <c r="D650" s="17" t="s">
        <v>756</v>
      </c>
      <c r="E650" s="17" t="s">
        <v>482</v>
      </c>
      <c r="F650" s="17" t="s">
        <v>234</v>
      </c>
      <c r="G650" s="20"/>
    </row>
    <row r="651" spans="1:7" ht="24">
      <c r="A651" s="158" t="s">
        <v>1189</v>
      </c>
      <c r="B651" s="53" t="s">
        <v>1180</v>
      </c>
      <c r="C651" s="17" t="s">
        <v>184</v>
      </c>
      <c r="D651" s="17" t="s">
        <v>756</v>
      </c>
      <c r="E651" s="17" t="s">
        <v>482</v>
      </c>
      <c r="F651" s="17" t="s">
        <v>1190</v>
      </c>
      <c r="G651" s="19">
        <f>G652</f>
        <v>6</v>
      </c>
    </row>
    <row r="652" spans="1:7" ht="24">
      <c r="A652" s="158" t="s">
        <v>1059</v>
      </c>
      <c r="B652" s="53" t="s">
        <v>1180</v>
      </c>
      <c r="C652" s="17" t="s">
        <v>184</v>
      </c>
      <c r="D652" s="17" t="s">
        <v>756</v>
      </c>
      <c r="E652" s="17" t="s">
        <v>482</v>
      </c>
      <c r="F652" s="17" t="s">
        <v>1060</v>
      </c>
      <c r="G652" s="20">
        <v>6</v>
      </c>
    </row>
    <row r="653" spans="1:7" ht="24">
      <c r="A653" s="158" t="s">
        <v>1189</v>
      </c>
      <c r="B653" s="53" t="s">
        <v>1180</v>
      </c>
      <c r="C653" s="17" t="s">
        <v>184</v>
      </c>
      <c r="D653" s="17" t="s">
        <v>756</v>
      </c>
      <c r="E653" s="17" t="s">
        <v>815</v>
      </c>
      <c r="F653" s="17" t="s">
        <v>1190</v>
      </c>
      <c r="G653" s="19">
        <f>G654</f>
        <v>17085</v>
      </c>
    </row>
    <row r="654" spans="1:7" ht="24">
      <c r="A654" s="158" t="s">
        <v>1059</v>
      </c>
      <c r="B654" s="53" t="s">
        <v>1180</v>
      </c>
      <c r="C654" s="17" t="s">
        <v>184</v>
      </c>
      <c r="D654" s="17" t="s">
        <v>756</v>
      </c>
      <c r="E654" s="17" t="s">
        <v>815</v>
      </c>
      <c r="F654" s="17" t="s">
        <v>1060</v>
      </c>
      <c r="G654" s="20">
        <v>17085</v>
      </c>
    </row>
    <row r="655" spans="1:7" ht="24">
      <c r="A655" s="158" t="s">
        <v>486</v>
      </c>
      <c r="B655" s="53" t="s">
        <v>1180</v>
      </c>
      <c r="C655" s="17" t="s">
        <v>184</v>
      </c>
      <c r="D655" s="17" t="s">
        <v>756</v>
      </c>
      <c r="E655" s="17" t="s">
        <v>1434</v>
      </c>
      <c r="F655" s="17" t="s">
        <v>402</v>
      </c>
      <c r="G655" s="19">
        <f>G656</f>
        <v>19929.699999999997</v>
      </c>
    </row>
    <row r="656" spans="1:7" ht="24">
      <c r="A656" s="158" t="s">
        <v>471</v>
      </c>
      <c r="B656" s="53" t="s">
        <v>1180</v>
      </c>
      <c r="C656" s="17" t="s">
        <v>184</v>
      </c>
      <c r="D656" s="17" t="s">
        <v>756</v>
      </c>
      <c r="E656" s="17" t="s">
        <v>1434</v>
      </c>
      <c r="F656" s="17" t="s">
        <v>1333</v>
      </c>
      <c r="G656" s="20">
        <f>2310.2+31887+0.1-14125.6-13-129</f>
        <v>19929.699999999997</v>
      </c>
    </row>
    <row r="657" spans="1:7" ht="24">
      <c r="A657" s="36" t="s">
        <v>748</v>
      </c>
      <c r="B657" s="53" t="s">
        <v>1180</v>
      </c>
      <c r="C657" s="17" t="s">
        <v>184</v>
      </c>
      <c r="D657" s="17" t="s">
        <v>756</v>
      </c>
      <c r="E657" s="17" t="s">
        <v>749</v>
      </c>
      <c r="F657" s="17"/>
      <c r="G657" s="19">
        <f>G658+G660+G663+G667</f>
        <v>5772.8</v>
      </c>
    </row>
    <row r="658" spans="1:7" ht="24">
      <c r="A658" s="158" t="s">
        <v>1189</v>
      </c>
      <c r="B658" s="53" t="s">
        <v>1180</v>
      </c>
      <c r="C658" s="17" t="s">
        <v>184</v>
      </c>
      <c r="D658" s="17" t="s">
        <v>756</v>
      </c>
      <c r="E658" s="17" t="s">
        <v>816</v>
      </c>
      <c r="F658" s="17" t="s">
        <v>1190</v>
      </c>
      <c r="G658" s="19">
        <f>G659</f>
        <v>3</v>
      </c>
    </row>
    <row r="659" spans="1:7" ht="24">
      <c r="A659" s="158" t="s">
        <v>1059</v>
      </c>
      <c r="B659" s="53" t="s">
        <v>1180</v>
      </c>
      <c r="C659" s="17" t="s">
        <v>184</v>
      </c>
      <c r="D659" s="17" t="s">
        <v>756</v>
      </c>
      <c r="E659" s="17" t="s">
        <v>816</v>
      </c>
      <c r="F659" s="17" t="s">
        <v>1060</v>
      </c>
      <c r="G659" s="20">
        <v>3</v>
      </c>
    </row>
    <row r="660" spans="1:7" ht="48">
      <c r="A660" s="158" t="s">
        <v>485</v>
      </c>
      <c r="B660" s="53" t="s">
        <v>1180</v>
      </c>
      <c r="C660" s="17" t="s">
        <v>184</v>
      </c>
      <c r="D660" s="17" t="s">
        <v>756</v>
      </c>
      <c r="E660" s="17" t="s">
        <v>750</v>
      </c>
      <c r="F660" s="17" t="s">
        <v>21</v>
      </c>
      <c r="G660" s="19">
        <f>G661</f>
        <v>4938.5</v>
      </c>
    </row>
    <row r="661" spans="1:7" ht="24">
      <c r="A661" s="36" t="s">
        <v>310</v>
      </c>
      <c r="B661" s="53" t="s">
        <v>1180</v>
      </c>
      <c r="C661" s="17" t="s">
        <v>184</v>
      </c>
      <c r="D661" s="17" t="s">
        <v>756</v>
      </c>
      <c r="E661" s="17" t="s">
        <v>750</v>
      </c>
      <c r="F661" s="17" t="s">
        <v>311</v>
      </c>
      <c r="G661" s="20">
        <f>4605-3.9-1+338.4</f>
        <v>4938.5</v>
      </c>
    </row>
    <row r="662" spans="1:7" ht="18.75" customHeight="1" hidden="1">
      <c r="A662" s="18" t="s">
        <v>812</v>
      </c>
      <c r="B662" s="53" t="s">
        <v>1180</v>
      </c>
      <c r="C662" s="17" t="s">
        <v>184</v>
      </c>
      <c r="D662" s="17" t="s">
        <v>756</v>
      </c>
      <c r="E662" s="17" t="s">
        <v>750</v>
      </c>
      <c r="F662" s="17" t="s">
        <v>544</v>
      </c>
      <c r="G662" s="20">
        <v>4605</v>
      </c>
    </row>
    <row r="663" spans="1:7" ht="23.25" customHeight="1">
      <c r="A663" s="158" t="s">
        <v>486</v>
      </c>
      <c r="B663" s="53" t="s">
        <v>1180</v>
      </c>
      <c r="C663" s="17" t="s">
        <v>184</v>
      </c>
      <c r="D663" s="17" t="s">
        <v>756</v>
      </c>
      <c r="E663" s="17" t="s">
        <v>750</v>
      </c>
      <c r="F663" s="17" t="s">
        <v>402</v>
      </c>
      <c r="G663" s="19">
        <f>G664</f>
        <v>827.3000000000001</v>
      </c>
    </row>
    <row r="664" spans="1:7" ht="19.5" customHeight="1">
      <c r="A664" s="158" t="s">
        <v>471</v>
      </c>
      <c r="B664" s="53" t="s">
        <v>1180</v>
      </c>
      <c r="C664" s="17" t="s">
        <v>184</v>
      </c>
      <c r="D664" s="17" t="s">
        <v>756</v>
      </c>
      <c r="E664" s="17" t="s">
        <v>750</v>
      </c>
      <c r="F664" s="17" t="s">
        <v>1333</v>
      </c>
      <c r="G664" s="20">
        <f>1237+4.9-76.2-338.4</f>
        <v>827.3000000000001</v>
      </c>
    </row>
    <row r="665" spans="1:7" ht="24" hidden="1">
      <c r="A665" s="158" t="s">
        <v>1076</v>
      </c>
      <c r="B665" s="53" t="s">
        <v>1180</v>
      </c>
      <c r="C665" s="17" t="s">
        <v>184</v>
      </c>
      <c r="D665" s="17" t="s">
        <v>756</v>
      </c>
      <c r="E665" s="17" t="s">
        <v>750</v>
      </c>
      <c r="F665" s="17" t="s">
        <v>516</v>
      </c>
      <c r="G665" s="20">
        <v>79</v>
      </c>
    </row>
    <row r="666" spans="1:7" ht="15" hidden="1">
      <c r="A666" s="158" t="s">
        <v>233</v>
      </c>
      <c r="B666" s="53" t="s">
        <v>1180</v>
      </c>
      <c r="C666" s="17" t="s">
        <v>184</v>
      </c>
      <c r="D666" s="17" t="s">
        <v>756</v>
      </c>
      <c r="E666" s="17" t="s">
        <v>750</v>
      </c>
      <c r="F666" s="17" t="s">
        <v>234</v>
      </c>
      <c r="G666" s="20">
        <v>1158</v>
      </c>
    </row>
    <row r="667" spans="1:7" ht="24">
      <c r="A667" s="158" t="s">
        <v>1189</v>
      </c>
      <c r="B667" s="53" t="s">
        <v>1180</v>
      </c>
      <c r="C667" s="17" t="s">
        <v>184</v>
      </c>
      <c r="D667" s="17" t="s">
        <v>756</v>
      </c>
      <c r="E667" s="17" t="s">
        <v>750</v>
      </c>
      <c r="F667" s="17" t="s">
        <v>1190</v>
      </c>
      <c r="G667" s="19">
        <f>G668</f>
        <v>4</v>
      </c>
    </row>
    <row r="668" spans="1:7" ht="24">
      <c r="A668" s="158" t="s">
        <v>1059</v>
      </c>
      <c r="B668" s="53" t="s">
        <v>1180</v>
      </c>
      <c r="C668" s="17" t="s">
        <v>184</v>
      </c>
      <c r="D668" s="17" t="s">
        <v>756</v>
      </c>
      <c r="E668" s="17" t="s">
        <v>750</v>
      </c>
      <c r="F668" s="17" t="s">
        <v>1060</v>
      </c>
      <c r="G668" s="20">
        <v>4</v>
      </c>
    </row>
    <row r="669" spans="1:7" ht="15" hidden="1">
      <c r="A669" s="159" t="s">
        <v>819</v>
      </c>
      <c r="B669" s="53" t="s">
        <v>1180</v>
      </c>
      <c r="C669" s="17" t="s">
        <v>184</v>
      </c>
      <c r="D669" s="17" t="s">
        <v>756</v>
      </c>
      <c r="E669" s="17" t="s">
        <v>750</v>
      </c>
      <c r="F669" s="17" t="s">
        <v>543</v>
      </c>
      <c r="G669" s="20">
        <v>3</v>
      </c>
    </row>
    <row r="670" spans="1:7" ht="15" hidden="1">
      <c r="A670" s="159" t="s">
        <v>513</v>
      </c>
      <c r="B670" s="53" t="s">
        <v>1180</v>
      </c>
      <c r="C670" s="17" t="s">
        <v>184</v>
      </c>
      <c r="D670" s="17" t="s">
        <v>756</v>
      </c>
      <c r="E670" s="17" t="s">
        <v>750</v>
      </c>
      <c r="F670" s="17" t="s">
        <v>514</v>
      </c>
      <c r="G670" s="20">
        <v>4</v>
      </c>
    </row>
    <row r="671" spans="1:7" ht="36">
      <c r="A671" s="159" t="s">
        <v>757</v>
      </c>
      <c r="B671" s="53" t="s">
        <v>1180</v>
      </c>
      <c r="C671" s="17" t="s">
        <v>184</v>
      </c>
      <c r="D671" s="17" t="s">
        <v>756</v>
      </c>
      <c r="E671" s="17" t="s">
        <v>751</v>
      </c>
      <c r="F671" s="17"/>
      <c r="G671" s="19">
        <f>G672+G677</f>
        <v>50720.2</v>
      </c>
    </row>
    <row r="672" spans="1:7" ht="24">
      <c r="A672" s="36" t="s">
        <v>459</v>
      </c>
      <c r="B672" s="53" t="s">
        <v>1180</v>
      </c>
      <c r="C672" s="17" t="s">
        <v>184</v>
      </c>
      <c r="D672" s="17" t="s">
        <v>756</v>
      </c>
      <c r="E672" s="17" t="s">
        <v>752</v>
      </c>
      <c r="F672" s="17" t="s">
        <v>641</v>
      </c>
      <c r="G672" s="19">
        <f>G673</f>
        <v>23561.2</v>
      </c>
    </row>
    <row r="673" spans="1:7" ht="24">
      <c r="A673" s="18" t="s">
        <v>390</v>
      </c>
      <c r="B673" s="53" t="s">
        <v>1180</v>
      </c>
      <c r="C673" s="17" t="s">
        <v>184</v>
      </c>
      <c r="D673" s="17" t="s">
        <v>756</v>
      </c>
      <c r="E673" s="17" t="s">
        <v>752</v>
      </c>
      <c r="F673" s="17" t="s">
        <v>419</v>
      </c>
      <c r="G673" s="20">
        <f>29729.3-1144+475.9-1364.5+364.5-4000-500</f>
        <v>23561.2</v>
      </c>
    </row>
    <row r="674" spans="1:7" ht="24">
      <c r="A674" s="18" t="s">
        <v>664</v>
      </c>
      <c r="B674" s="53" t="s">
        <v>1180</v>
      </c>
      <c r="C674" s="17" t="s">
        <v>184</v>
      </c>
      <c r="D674" s="17" t="s">
        <v>756</v>
      </c>
      <c r="E674" s="17" t="s">
        <v>752</v>
      </c>
      <c r="F674" s="17" t="s">
        <v>419</v>
      </c>
      <c r="G674" s="20">
        <v>475.9</v>
      </c>
    </row>
    <row r="675" spans="1:7" ht="24">
      <c r="A675" s="18" t="s">
        <v>532</v>
      </c>
      <c r="B675" s="53" t="s">
        <v>1180</v>
      </c>
      <c r="C675" s="17" t="s">
        <v>184</v>
      </c>
      <c r="D675" s="17" t="s">
        <v>756</v>
      </c>
      <c r="E675" s="17" t="s">
        <v>752</v>
      </c>
      <c r="F675" s="17" t="s">
        <v>419</v>
      </c>
      <c r="G675" s="20">
        <f>364.5+93+570</f>
        <v>1027.5</v>
      </c>
    </row>
    <row r="676" spans="1:7" ht="24">
      <c r="A676" s="18" t="s">
        <v>300</v>
      </c>
      <c r="B676" s="53" t="s">
        <v>1180</v>
      </c>
      <c r="C676" s="17" t="s">
        <v>184</v>
      </c>
      <c r="D676" s="17" t="s">
        <v>756</v>
      </c>
      <c r="E676" s="17" t="s">
        <v>752</v>
      </c>
      <c r="F676" s="17" t="s">
        <v>419</v>
      </c>
      <c r="G676" s="20">
        <v>537</v>
      </c>
    </row>
    <row r="677" spans="1:7" ht="96">
      <c r="A677" s="298" t="s">
        <v>66</v>
      </c>
      <c r="B677" s="53" t="s">
        <v>1180</v>
      </c>
      <c r="C677" s="17" t="s">
        <v>184</v>
      </c>
      <c r="D677" s="17" t="s">
        <v>756</v>
      </c>
      <c r="E677" s="17" t="s">
        <v>1437</v>
      </c>
      <c r="F677" s="17" t="s">
        <v>641</v>
      </c>
      <c r="G677" s="297">
        <f>G678</f>
        <v>27159</v>
      </c>
    </row>
    <row r="678" spans="1:7" ht="24">
      <c r="A678" s="18" t="s">
        <v>460</v>
      </c>
      <c r="B678" s="53" t="s">
        <v>1180</v>
      </c>
      <c r="C678" s="17" t="s">
        <v>184</v>
      </c>
      <c r="D678" s="17" t="s">
        <v>756</v>
      </c>
      <c r="E678" s="17" t="s">
        <v>1437</v>
      </c>
      <c r="F678" s="17" t="s">
        <v>419</v>
      </c>
      <c r="G678" s="20">
        <v>27159</v>
      </c>
    </row>
    <row r="679" spans="1:7" ht="24">
      <c r="A679" s="18" t="s">
        <v>922</v>
      </c>
      <c r="B679" s="53" t="s">
        <v>1180</v>
      </c>
      <c r="C679" s="17" t="s">
        <v>184</v>
      </c>
      <c r="D679" s="17" t="s">
        <v>756</v>
      </c>
      <c r="E679" s="17" t="s">
        <v>1437</v>
      </c>
      <c r="F679" s="17" t="s">
        <v>419</v>
      </c>
      <c r="G679" s="20">
        <v>972.5</v>
      </c>
    </row>
    <row r="680" spans="1:7" ht="36">
      <c r="A680" s="36" t="s">
        <v>523</v>
      </c>
      <c r="B680" s="53" t="s">
        <v>1180</v>
      </c>
      <c r="C680" s="17" t="s">
        <v>184</v>
      </c>
      <c r="D680" s="17" t="s">
        <v>756</v>
      </c>
      <c r="E680" s="17" t="s">
        <v>524</v>
      </c>
      <c r="F680" s="17"/>
      <c r="G680" s="19">
        <f>G681</f>
        <v>37499.799999999996</v>
      </c>
    </row>
    <row r="681" spans="1:7" ht="24">
      <c r="A681" s="18" t="s">
        <v>464</v>
      </c>
      <c r="B681" s="53" t="s">
        <v>1180</v>
      </c>
      <c r="C681" s="17" t="s">
        <v>184</v>
      </c>
      <c r="D681" s="17" t="s">
        <v>756</v>
      </c>
      <c r="E681" s="17" t="s">
        <v>525</v>
      </c>
      <c r="F681" s="17" t="s">
        <v>1204</v>
      </c>
      <c r="G681" s="19">
        <f>G682+G686+G690</f>
        <v>37499.799999999996</v>
      </c>
    </row>
    <row r="682" spans="1:7" ht="48">
      <c r="A682" s="158" t="s">
        <v>485</v>
      </c>
      <c r="B682" s="53" t="s">
        <v>1180</v>
      </c>
      <c r="C682" s="17" t="s">
        <v>184</v>
      </c>
      <c r="D682" s="17" t="s">
        <v>756</v>
      </c>
      <c r="E682" s="17" t="s">
        <v>525</v>
      </c>
      <c r="F682" s="17" t="s">
        <v>21</v>
      </c>
      <c r="G682" s="19">
        <f>G683</f>
        <v>36562.7</v>
      </c>
    </row>
    <row r="683" spans="1:7" ht="24">
      <c r="A683" s="158" t="s">
        <v>34</v>
      </c>
      <c r="B683" s="53" t="s">
        <v>1180</v>
      </c>
      <c r="C683" s="17" t="s">
        <v>184</v>
      </c>
      <c r="D683" s="17" t="s">
        <v>756</v>
      </c>
      <c r="E683" s="17" t="s">
        <v>525</v>
      </c>
      <c r="F683" s="17" t="s">
        <v>416</v>
      </c>
      <c r="G683" s="20">
        <f>35782.1+599.5+181.1</f>
        <v>36562.7</v>
      </c>
    </row>
    <row r="684" spans="1:7" ht="15" hidden="1">
      <c r="A684" s="18" t="s">
        <v>812</v>
      </c>
      <c r="B684" s="53" t="s">
        <v>1180</v>
      </c>
      <c r="C684" s="17" t="s">
        <v>184</v>
      </c>
      <c r="D684" s="17" t="s">
        <v>756</v>
      </c>
      <c r="E684" s="17" t="s">
        <v>525</v>
      </c>
      <c r="F684" s="17" t="s">
        <v>813</v>
      </c>
      <c r="G684" s="20">
        <v>35781.6</v>
      </c>
    </row>
    <row r="685" spans="1:7" ht="15" hidden="1">
      <c r="A685" s="18" t="s">
        <v>442</v>
      </c>
      <c r="B685" s="53" t="s">
        <v>1180</v>
      </c>
      <c r="C685" s="17" t="s">
        <v>184</v>
      </c>
      <c r="D685" s="17" t="s">
        <v>756</v>
      </c>
      <c r="E685" s="17" t="s">
        <v>525</v>
      </c>
      <c r="F685" s="17" t="s">
        <v>950</v>
      </c>
      <c r="G685" s="20">
        <v>0.5</v>
      </c>
    </row>
    <row r="686" spans="1:7" ht="24">
      <c r="A686" s="158" t="s">
        <v>486</v>
      </c>
      <c r="B686" s="53" t="s">
        <v>1180</v>
      </c>
      <c r="C686" s="17" t="s">
        <v>184</v>
      </c>
      <c r="D686" s="17" t="s">
        <v>756</v>
      </c>
      <c r="E686" s="17" t="s">
        <v>525</v>
      </c>
      <c r="F686" s="17" t="s">
        <v>402</v>
      </c>
      <c r="G686" s="19">
        <f>G687</f>
        <v>933.4</v>
      </c>
    </row>
    <row r="687" spans="1:7" ht="24">
      <c r="A687" s="158" t="s">
        <v>471</v>
      </c>
      <c r="B687" s="53" t="s">
        <v>1180</v>
      </c>
      <c r="C687" s="17" t="s">
        <v>184</v>
      </c>
      <c r="D687" s="17" t="s">
        <v>756</v>
      </c>
      <c r="E687" s="17" t="s">
        <v>525</v>
      </c>
      <c r="F687" s="17" t="s">
        <v>1333</v>
      </c>
      <c r="G687" s="20">
        <f>622.1+70-1+234.9+7.4</f>
        <v>933.4</v>
      </c>
    </row>
    <row r="688" spans="1:7" ht="24" hidden="1">
      <c r="A688" s="158" t="s">
        <v>178</v>
      </c>
      <c r="B688" s="53" t="s">
        <v>1180</v>
      </c>
      <c r="C688" s="17" t="s">
        <v>184</v>
      </c>
      <c r="D688" s="17" t="s">
        <v>756</v>
      </c>
      <c r="E688" s="17" t="s">
        <v>525</v>
      </c>
      <c r="F688" s="17" t="s">
        <v>516</v>
      </c>
      <c r="G688" s="20">
        <v>310</v>
      </c>
    </row>
    <row r="689" spans="1:7" ht="15" hidden="1">
      <c r="A689" s="158" t="s">
        <v>233</v>
      </c>
      <c r="B689" s="53" t="s">
        <v>1180</v>
      </c>
      <c r="C689" s="17" t="s">
        <v>184</v>
      </c>
      <c r="D689" s="17" t="s">
        <v>756</v>
      </c>
      <c r="E689" s="17" t="s">
        <v>525</v>
      </c>
      <c r="F689" s="17" t="s">
        <v>234</v>
      </c>
      <c r="G689" s="20">
        <v>312.1</v>
      </c>
    </row>
    <row r="690" spans="1:7" ht="24">
      <c r="A690" s="158" t="s">
        <v>1189</v>
      </c>
      <c r="B690" s="53" t="s">
        <v>1180</v>
      </c>
      <c r="C690" s="17" t="s">
        <v>184</v>
      </c>
      <c r="D690" s="17" t="s">
        <v>756</v>
      </c>
      <c r="E690" s="17" t="s">
        <v>526</v>
      </c>
      <c r="F690" s="17" t="s">
        <v>1190</v>
      </c>
      <c r="G690" s="19">
        <f>G691</f>
        <v>3.7</v>
      </c>
    </row>
    <row r="691" spans="1:7" ht="24">
      <c r="A691" s="158" t="s">
        <v>1059</v>
      </c>
      <c r="B691" s="53" t="s">
        <v>1180</v>
      </c>
      <c r="C691" s="17" t="s">
        <v>184</v>
      </c>
      <c r="D691" s="17" t="s">
        <v>756</v>
      </c>
      <c r="E691" s="17" t="s">
        <v>526</v>
      </c>
      <c r="F691" s="17" t="s">
        <v>1060</v>
      </c>
      <c r="G691" s="20">
        <f>2.7+1</f>
        <v>3.7</v>
      </c>
    </row>
    <row r="692" spans="1:7" ht="15" hidden="1">
      <c r="A692" s="159" t="s">
        <v>819</v>
      </c>
      <c r="B692" s="53" t="s">
        <v>1180</v>
      </c>
      <c r="C692" s="17" t="s">
        <v>184</v>
      </c>
      <c r="D692" s="17" t="s">
        <v>756</v>
      </c>
      <c r="E692" s="17" t="s">
        <v>526</v>
      </c>
      <c r="F692" s="17" t="s">
        <v>543</v>
      </c>
      <c r="G692" s="20">
        <v>2.7</v>
      </c>
    </row>
    <row r="693" spans="1:7" ht="72">
      <c r="A693" s="18" t="s">
        <v>941</v>
      </c>
      <c r="B693" s="53" t="s">
        <v>1180</v>
      </c>
      <c r="C693" s="17" t="s">
        <v>184</v>
      </c>
      <c r="D693" s="17" t="s">
        <v>756</v>
      </c>
      <c r="E693" s="17" t="s">
        <v>943</v>
      </c>
      <c r="F693" s="17"/>
      <c r="G693" s="19">
        <f>G694+G696+G699+G702+G705</f>
        <v>336636.1</v>
      </c>
    </row>
    <row r="694" spans="1:7" ht="24" hidden="1">
      <c r="A694" s="158" t="s">
        <v>270</v>
      </c>
      <c r="B694" s="53" t="s">
        <v>1180</v>
      </c>
      <c r="C694" s="17" t="s">
        <v>184</v>
      </c>
      <c r="D694" s="17" t="s">
        <v>756</v>
      </c>
      <c r="E694" s="17" t="s">
        <v>896</v>
      </c>
      <c r="F694" s="17" t="s">
        <v>312</v>
      </c>
      <c r="G694" s="19">
        <f>G695</f>
        <v>0</v>
      </c>
    </row>
    <row r="695" spans="1:7" ht="36" hidden="1">
      <c r="A695" s="18" t="s">
        <v>1175</v>
      </c>
      <c r="B695" s="53" t="s">
        <v>1180</v>
      </c>
      <c r="C695" s="17" t="s">
        <v>184</v>
      </c>
      <c r="D695" s="17" t="s">
        <v>756</v>
      </c>
      <c r="E695" s="17" t="s">
        <v>896</v>
      </c>
      <c r="F695" s="17" t="s">
        <v>1174</v>
      </c>
      <c r="G695" s="20">
        <f>93576.2+100000-193576.2</f>
        <v>0</v>
      </c>
    </row>
    <row r="696" spans="1:7" ht="24">
      <c r="A696" s="158" t="s">
        <v>486</v>
      </c>
      <c r="B696" s="53" t="s">
        <v>1180</v>
      </c>
      <c r="C696" s="17" t="s">
        <v>184</v>
      </c>
      <c r="D696" s="17" t="s">
        <v>756</v>
      </c>
      <c r="E696" s="17" t="s">
        <v>942</v>
      </c>
      <c r="F696" s="17" t="s">
        <v>402</v>
      </c>
      <c r="G696" s="19">
        <f>G697</f>
        <v>248.20000000000005</v>
      </c>
    </row>
    <row r="697" spans="1:7" ht="24">
      <c r="A697" s="158" t="s">
        <v>471</v>
      </c>
      <c r="B697" s="53" t="s">
        <v>1180</v>
      </c>
      <c r="C697" s="17" t="s">
        <v>184</v>
      </c>
      <c r="D697" s="17" t="s">
        <v>756</v>
      </c>
      <c r="E697" s="17" t="s">
        <v>942</v>
      </c>
      <c r="F697" s="17" t="s">
        <v>1333</v>
      </c>
      <c r="G697" s="20">
        <f>879.5-59.5-720+487.1-38.9-300</f>
        <v>248.20000000000005</v>
      </c>
    </row>
    <row r="698" spans="1:7" ht="20.25" customHeight="1" hidden="1">
      <c r="A698" s="158" t="s">
        <v>233</v>
      </c>
      <c r="B698" s="53" t="s">
        <v>1180</v>
      </c>
      <c r="C698" s="17" t="s">
        <v>184</v>
      </c>
      <c r="D698" s="17" t="s">
        <v>756</v>
      </c>
      <c r="E698" s="17" t="s">
        <v>942</v>
      </c>
      <c r="F698" s="17" t="s">
        <v>234</v>
      </c>
      <c r="G698" s="20">
        <f>100+59.5+720</f>
        <v>879.5</v>
      </c>
    </row>
    <row r="699" spans="1:7" ht="28.5" customHeight="1" hidden="1">
      <c r="A699" s="158" t="s">
        <v>270</v>
      </c>
      <c r="B699" s="53" t="s">
        <v>1180</v>
      </c>
      <c r="C699" s="17" t="s">
        <v>184</v>
      </c>
      <c r="D699" s="17" t="s">
        <v>756</v>
      </c>
      <c r="E699" s="17" t="s">
        <v>942</v>
      </c>
      <c r="F699" s="17" t="s">
        <v>312</v>
      </c>
      <c r="G699" s="19">
        <f>G700</f>
        <v>0</v>
      </c>
    </row>
    <row r="700" spans="1:7" ht="33.75" customHeight="1" hidden="1">
      <c r="A700" s="18" t="s">
        <v>1175</v>
      </c>
      <c r="B700" s="53" t="s">
        <v>1180</v>
      </c>
      <c r="C700" s="17" t="s">
        <v>184</v>
      </c>
      <c r="D700" s="17" t="s">
        <v>756</v>
      </c>
      <c r="E700" s="17" t="s">
        <v>942</v>
      </c>
      <c r="F700" s="17" t="s">
        <v>1174</v>
      </c>
      <c r="G700" s="20">
        <f>93576.2-93576.2</f>
        <v>0</v>
      </c>
    </row>
    <row r="701" spans="1:7" ht="48" customHeight="1" hidden="1">
      <c r="A701" s="18" t="s">
        <v>1482</v>
      </c>
      <c r="B701" s="53" t="s">
        <v>1180</v>
      </c>
      <c r="C701" s="17" t="s">
        <v>184</v>
      </c>
      <c r="D701" s="17" t="s">
        <v>756</v>
      </c>
      <c r="E701" s="17" t="s">
        <v>942</v>
      </c>
      <c r="F701" s="17" t="s">
        <v>559</v>
      </c>
      <c r="G701" s="20"/>
    </row>
    <row r="702" spans="1:7" ht="19.5" customHeight="1">
      <c r="A702" s="158" t="s">
        <v>486</v>
      </c>
      <c r="B702" s="53" t="s">
        <v>1180</v>
      </c>
      <c r="C702" s="17" t="s">
        <v>184</v>
      </c>
      <c r="D702" s="17" t="s">
        <v>756</v>
      </c>
      <c r="E702" s="17" t="s">
        <v>7</v>
      </c>
      <c r="F702" s="17" t="s">
        <v>402</v>
      </c>
      <c r="G702" s="19">
        <f>G703</f>
        <v>336345.8</v>
      </c>
    </row>
    <row r="703" spans="1:7" ht="21" customHeight="1">
      <c r="A703" s="158" t="s">
        <v>1362</v>
      </c>
      <c r="B703" s="53" t="s">
        <v>1180</v>
      </c>
      <c r="C703" s="17" t="s">
        <v>184</v>
      </c>
      <c r="D703" s="17" t="s">
        <v>756</v>
      </c>
      <c r="E703" s="17" t="s">
        <v>7</v>
      </c>
      <c r="F703" s="17" t="s">
        <v>1333</v>
      </c>
      <c r="G703" s="20">
        <f>720+59.5+30000-15+29.2+30000+450+980+16202+2365.5+406.8+47.5+454.7+0.1+26.1+12.8+682.1+500+30000+80000+7000+301.3+682.1+2950+8193.4+16283+2100+6297+90000+12.6+1174+1054+3938.3-200+2273.4+1365.4</f>
        <v>336345.8</v>
      </c>
    </row>
    <row r="704" spans="1:7" ht="21" customHeight="1">
      <c r="A704" s="158" t="s">
        <v>1363</v>
      </c>
      <c r="B704" s="53" t="s">
        <v>1180</v>
      </c>
      <c r="C704" s="17" t="s">
        <v>184</v>
      </c>
      <c r="D704" s="17" t="s">
        <v>756</v>
      </c>
      <c r="E704" s="17" t="s">
        <v>7</v>
      </c>
      <c r="F704" s="17" t="s">
        <v>1333</v>
      </c>
      <c r="G704" s="20">
        <f>30000+30000+450+980+16202+2365.5+406.8+500+30000+80000+7000+301.3+2950+8193.4+16283+2100+6297+90000+1174+1054+3938.3+2273.4+1365.4</f>
        <v>333834.10000000003</v>
      </c>
    </row>
    <row r="705" spans="1:7" ht="21" customHeight="1">
      <c r="A705" s="158" t="s">
        <v>1189</v>
      </c>
      <c r="B705" s="53" t="s">
        <v>1180</v>
      </c>
      <c r="C705" s="17" t="s">
        <v>184</v>
      </c>
      <c r="D705" s="17" t="s">
        <v>756</v>
      </c>
      <c r="E705" s="17" t="s">
        <v>7</v>
      </c>
      <c r="F705" s="17" t="s">
        <v>1190</v>
      </c>
      <c r="G705" s="19">
        <f>G706</f>
        <v>42.1</v>
      </c>
    </row>
    <row r="706" spans="1:7" ht="21" customHeight="1">
      <c r="A706" s="158" t="s">
        <v>1304</v>
      </c>
      <c r="B706" s="53" t="s">
        <v>1180</v>
      </c>
      <c r="C706" s="17" t="s">
        <v>184</v>
      </c>
      <c r="D706" s="17" t="s">
        <v>756</v>
      </c>
      <c r="E706" s="17" t="s">
        <v>7</v>
      </c>
      <c r="F706" s="17" t="s">
        <v>1305</v>
      </c>
      <c r="G706" s="20">
        <f>25+15+2.1</f>
        <v>42.1</v>
      </c>
    </row>
    <row r="707" spans="1:7" ht="15" hidden="1">
      <c r="A707" s="56" t="s">
        <v>240</v>
      </c>
      <c r="B707" s="53" t="s">
        <v>1180</v>
      </c>
      <c r="C707" s="17" t="s">
        <v>1154</v>
      </c>
      <c r="D707" s="17"/>
      <c r="E707" s="17"/>
      <c r="F707" s="17"/>
      <c r="G707" s="20">
        <f>G708</f>
        <v>0</v>
      </c>
    </row>
    <row r="708" spans="1:7" ht="15" hidden="1">
      <c r="A708" s="31" t="s">
        <v>810</v>
      </c>
      <c r="B708" s="53" t="s">
        <v>1180</v>
      </c>
      <c r="C708" s="17" t="s">
        <v>1154</v>
      </c>
      <c r="D708" s="17" t="s">
        <v>118</v>
      </c>
      <c r="E708" s="17"/>
      <c r="F708" s="17"/>
      <c r="G708" s="20">
        <f>G709</f>
        <v>0</v>
      </c>
    </row>
    <row r="709" spans="1:7" ht="24" hidden="1">
      <c r="A709" s="32" t="s">
        <v>241</v>
      </c>
      <c r="B709" s="53" t="s">
        <v>1180</v>
      </c>
      <c r="C709" s="17" t="s">
        <v>1154</v>
      </c>
      <c r="D709" s="17" t="s">
        <v>118</v>
      </c>
      <c r="E709" s="17" t="s">
        <v>242</v>
      </c>
      <c r="F709" s="17"/>
      <c r="G709" s="20">
        <f>G710</f>
        <v>0</v>
      </c>
    </row>
    <row r="710" spans="1:7" ht="15" hidden="1">
      <c r="A710" s="18" t="s">
        <v>1101</v>
      </c>
      <c r="B710" s="53" t="s">
        <v>1180</v>
      </c>
      <c r="C710" s="17" t="s">
        <v>1154</v>
      </c>
      <c r="D710" s="17" t="s">
        <v>118</v>
      </c>
      <c r="E710" s="17" t="s">
        <v>811</v>
      </c>
      <c r="F710" s="17" t="s">
        <v>1204</v>
      </c>
      <c r="G710" s="20">
        <f>G711</f>
        <v>0</v>
      </c>
    </row>
    <row r="711" spans="1:7" ht="15" hidden="1">
      <c r="A711" s="36" t="s">
        <v>545</v>
      </c>
      <c r="B711" s="53" t="s">
        <v>1180</v>
      </c>
      <c r="C711" s="17" t="s">
        <v>1154</v>
      </c>
      <c r="D711" s="17" t="s">
        <v>118</v>
      </c>
      <c r="E711" s="17" t="s">
        <v>811</v>
      </c>
      <c r="F711" s="17" t="s">
        <v>1333</v>
      </c>
      <c r="G711" s="20">
        <f>G712</f>
        <v>0</v>
      </c>
    </row>
    <row r="712" spans="1:7" ht="15" hidden="1">
      <c r="A712" s="158" t="s">
        <v>233</v>
      </c>
      <c r="B712" s="53" t="s">
        <v>1180</v>
      </c>
      <c r="C712" s="17" t="s">
        <v>1154</v>
      </c>
      <c r="D712" s="17" t="s">
        <v>118</v>
      </c>
      <c r="E712" s="17" t="s">
        <v>811</v>
      </c>
      <c r="F712" s="17" t="s">
        <v>234</v>
      </c>
      <c r="G712" s="20"/>
    </row>
    <row r="713" spans="1:7" ht="25.5">
      <c r="A713" s="56" t="s">
        <v>1332</v>
      </c>
      <c r="B713" s="53" t="s">
        <v>1180</v>
      </c>
      <c r="C713" s="26" t="s">
        <v>1340</v>
      </c>
      <c r="D713" s="26"/>
      <c r="E713" s="26"/>
      <c r="F713" s="26"/>
      <c r="G713" s="22">
        <f>G714+G739+G743</f>
        <v>22422.6</v>
      </c>
    </row>
    <row r="714" spans="1:7" ht="36">
      <c r="A714" s="31" t="s">
        <v>269</v>
      </c>
      <c r="B714" s="53" t="s">
        <v>1180</v>
      </c>
      <c r="C714" s="17" t="s">
        <v>1340</v>
      </c>
      <c r="D714" s="17" t="s">
        <v>1339</v>
      </c>
      <c r="E714" s="17"/>
      <c r="F714" s="17"/>
      <c r="G714" s="19">
        <f>G715</f>
        <v>12962</v>
      </c>
    </row>
    <row r="715" spans="1:7" ht="33.75" customHeight="1">
      <c r="A715" s="32" t="s">
        <v>1160</v>
      </c>
      <c r="B715" s="53" t="s">
        <v>1180</v>
      </c>
      <c r="C715" s="17" t="s">
        <v>1340</v>
      </c>
      <c r="D715" s="17" t="s">
        <v>1339</v>
      </c>
      <c r="E715" s="17" t="s">
        <v>369</v>
      </c>
      <c r="F715" s="17"/>
      <c r="G715" s="19">
        <f>G716+G728+G733</f>
        <v>12962</v>
      </c>
    </row>
    <row r="716" spans="1:7" ht="39" customHeight="1">
      <c r="A716" s="36" t="s">
        <v>368</v>
      </c>
      <c r="B716" s="53" t="s">
        <v>1180</v>
      </c>
      <c r="C716" s="17" t="s">
        <v>1340</v>
      </c>
      <c r="D716" s="17" t="s">
        <v>1339</v>
      </c>
      <c r="E716" s="17" t="s">
        <v>370</v>
      </c>
      <c r="F716" s="17"/>
      <c r="G716" s="19">
        <f>G717+G721</f>
        <v>342</v>
      </c>
    </row>
    <row r="717" spans="1:7" ht="22.5" customHeight="1">
      <c r="A717" s="18" t="s">
        <v>755</v>
      </c>
      <c r="B717" s="53" t="s">
        <v>1180</v>
      </c>
      <c r="C717" s="17" t="s">
        <v>1340</v>
      </c>
      <c r="D717" s="17" t="s">
        <v>1339</v>
      </c>
      <c r="E717" s="17" t="s">
        <v>371</v>
      </c>
      <c r="F717" s="17" t="s">
        <v>1204</v>
      </c>
      <c r="G717" s="19">
        <f>G719</f>
        <v>211</v>
      </c>
    </row>
    <row r="718" spans="1:7" ht="22.5" customHeight="1">
      <c r="A718" s="158" t="s">
        <v>486</v>
      </c>
      <c r="B718" s="53" t="s">
        <v>1180</v>
      </c>
      <c r="C718" s="17" t="s">
        <v>1340</v>
      </c>
      <c r="D718" s="17" t="s">
        <v>1339</v>
      </c>
      <c r="E718" s="17" t="s">
        <v>371</v>
      </c>
      <c r="F718" s="17" t="s">
        <v>402</v>
      </c>
      <c r="G718" s="19">
        <f>G719</f>
        <v>211</v>
      </c>
    </row>
    <row r="719" spans="1:7" ht="17.25" customHeight="1">
      <c r="A719" s="158" t="s">
        <v>471</v>
      </c>
      <c r="B719" s="53" t="s">
        <v>1180</v>
      </c>
      <c r="C719" s="17" t="s">
        <v>1340</v>
      </c>
      <c r="D719" s="17" t="s">
        <v>1339</v>
      </c>
      <c r="E719" s="17" t="s">
        <v>371</v>
      </c>
      <c r="F719" s="17" t="s">
        <v>1333</v>
      </c>
      <c r="G719" s="20">
        <v>211</v>
      </c>
    </row>
    <row r="720" spans="1:7" ht="22.5" customHeight="1" hidden="1">
      <c r="A720" s="158" t="s">
        <v>233</v>
      </c>
      <c r="B720" s="53" t="s">
        <v>1180</v>
      </c>
      <c r="C720" s="17" t="s">
        <v>1340</v>
      </c>
      <c r="D720" s="17" t="s">
        <v>1339</v>
      </c>
      <c r="E720" s="17" t="s">
        <v>371</v>
      </c>
      <c r="F720" s="17" t="s">
        <v>234</v>
      </c>
      <c r="G720" s="20">
        <v>211</v>
      </c>
    </row>
    <row r="721" spans="1:7" ht="22.5" customHeight="1">
      <c r="A721" s="36" t="s">
        <v>117</v>
      </c>
      <c r="B721" s="53" t="s">
        <v>1180</v>
      </c>
      <c r="C721" s="17" t="s">
        <v>1340</v>
      </c>
      <c r="D721" s="17" t="s">
        <v>1339</v>
      </c>
      <c r="E721" s="17" t="s">
        <v>372</v>
      </c>
      <c r="F721" s="17" t="s">
        <v>1204</v>
      </c>
      <c r="G721" s="19">
        <f>G722</f>
        <v>131</v>
      </c>
    </row>
    <row r="722" spans="1:7" ht="24" customHeight="1">
      <c r="A722" s="18" t="s">
        <v>330</v>
      </c>
      <c r="B722" s="53" t="s">
        <v>1180</v>
      </c>
      <c r="C722" s="17" t="s">
        <v>1340</v>
      </c>
      <c r="D722" s="17" t="s">
        <v>1339</v>
      </c>
      <c r="E722" s="17" t="s">
        <v>372</v>
      </c>
      <c r="F722" s="17" t="s">
        <v>1204</v>
      </c>
      <c r="G722" s="19">
        <f>G723+G726</f>
        <v>131</v>
      </c>
    </row>
    <row r="723" spans="1:7" ht="24" customHeight="1">
      <c r="A723" s="158" t="s">
        <v>486</v>
      </c>
      <c r="B723" s="53" t="s">
        <v>1180</v>
      </c>
      <c r="C723" s="17" t="s">
        <v>1340</v>
      </c>
      <c r="D723" s="17" t="s">
        <v>1339</v>
      </c>
      <c r="E723" s="17" t="s">
        <v>372</v>
      </c>
      <c r="F723" s="17" t="s">
        <v>402</v>
      </c>
      <c r="G723" s="19">
        <f>G724</f>
        <v>52.5</v>
      </c>
    </row>
    <row r="724" spans="1:7" ht="21" customHeight="1">
      <c r="A724" s="158" t="s">
        <v>471</v>
      </c>
      <c r="B724" s="53" t="s">
        <v>1180</v>
      </c>
      <c r="C724" s="17" t="s">
        <v>1340</v>
      </c>
      <c r="D724" s="17" t="s">
        <v>1339</v>
      </c>
      <c r="E724" s="17" t="s">
        <v>372</v>
      </c>
      <c r="F724" s="17" t="s">
        <v>1333</v>
      </c>
      <c r="G724" s="20">
        <v>52.5</v>
      </c>
    </row>
    <row r="725" spans="1:7" ht="18.75" customHeight="1" hidden="1">
      <c r="A725" s="158" t="s">
        <v>233</v>
      </c>
      <c r="B725" s="53" t="s">
        <v>1180</v>
      </c>
      <c r="C725" s="17" t="s">
        <v>1340</v>
      </c>
      <c r="D725" s="17" t="s">
        <v>1339</v>
      </c>
      <c r="E725" s="17" t="s">
        <v>372</v>
      </c>
      <c r="F725" s="17" t="s">
        <v>234</v>
      </c>
      <c r="G725" s="20">
        <v>52.5</v>
      </c>
    </row>
    <row r="726" spans="1:7" ht="18.75" customHeight="1">
      <c r="A726" s="158" t="s">
        <v>1189</v>
      </c>
      <c r="B726" s="53" t="s">
        <v>1180</v>
      </c>
      <c r="C726" s="17" t="s">
        <v>1340</v>
      </c>
      <c r="D726" s="17" t="s">
        <v>1339</v>
      </c>
      <c r="E726" s="17" t="s">
        <v>372</v>
      </c>
      <c r="F726" s="17" t="s">
        <v>1190</v>
      </c>
      <c r="G726" s="19">
        <f>G727</f>
        <v>78.5</v>
      </c>
    </row>
    <row r="727" spans="1:7" ht="15.75" customHeight="1">
      <c r="A727" s="18" t="s">
        <v>1191</v>
      </c>
      <c r="B727" s="53" t="s">
        <v>1180</v>
      </c>
      <c r="C727" s="17" t="s">
        <v>1340</v>
      </c>
      <c r="D727" s="17" t="s">
        <v>1339</v>
      </c>
      <c r="E727" s="17" t="s">
        <v>372</v>
      </c>
      <c r="F727" s="17" t="s">
        <v>1192</v>
      </c>
      <c r="G727" s="20">
        <v>78.5</v>
      </c>
    </row>
    <row r="728" spans="1:7" ht="32.25" customHeight="1">
      <c r="A728" s="36" t="s">
        <v>373</v>
      </c>
      <c r="B728" s="53" t="s">
        <v>1180</v>
      </c>
      <c r="C728" s="17" t="s">
        <v>1340</v>
      </c>
      <c r="D728" s="17" t="s">
        <v>1339</v>
      </c>
      <c r="E728" s="17" t="s">
        <v>374</v>
      </c>
      <c r="F728" s="17"/>
      <c r="G728" s="19">
        <f>G729</f>
        <v>11970</v>
      </c>
    </row>
    <row r="729" spans="1:7" ht="32.25" customHeight="1">
      <c r="A729" s="18" t="s">
        <v>375</v>
      </c>
      <c r="B729" s="53" t="s">
        <v>1180</v>
      </c>
      <c r="C729" s="17" t="s">
        <v>1340</v>
      </c>
      <c r="D729" s="17" t="s">
        <v>1339</v>
      </c>
      <c r="E729" s="17" t="s">
        <v>376</v>
      </c>
      <c r="F729" s="17" t="s">
        <v>1204</v>
      </c>
      <c r="G729" s="19">
        <f>G730</f>
        <v>11970</v>
      </c>
    </row>
    <row r="730" spans="1:7" ht="29.25" customHeight="1">
      <c r="A730" s="158" t="s">
        <v>486</v>
      </c>
      <c r="B730" s="53" t="s">
        <v>1180</v>
      </c>
      <c r="C730" s="17" t="s">
        <v>1340</v>
      </c>
      <c r="D730" s="17" t="s">
        <v>1339</v>
      </c>
      <c r="E730" s="17" t="s">
        <v>376</v>
      </c>
      <c r="F730" s="17" t="s">
        <v>402</v>
      </c>
      <c r="G730" s="19">
        <f>G731</f>
        <v>11970</v>
      </c>
    </row>
    <row r="731" spans="1:7" ht="15.75" customHeight="1">
      <c r="A731" s="158" t="s">
        <v>471</v>
      </c>
      <c r="B731" s="53" t="s">
        <v>1180</v>
      </c>
      <c r="C731" s="17" t="s">
        <v>1340</v>
      </c>
      <c r="D731" s="17" t="s">
        <v>1339</v>
      </c>
      <c r="E731" s="17" t="s">
        <v>376</v>
      </c>
      <c r="F731" s="17" t="s">
        <v>1333</v>
      </c>
      <c r="G731" s="20">
        <f>7030+6300-1360</f>
        <v>11970</v>
      </c>
    </row>
    <row r="732" spans="1:7" ht="21" customHeight="1" hidden="1">
      <c r="A732" s="158" t="s">
        <v>233</v>
      </c>
      <c r="B732" s="53" t="s">
        <v>1180</v>
      </c>
      <c r="C732" s="17" t="s">
        <v>1340</v>
      </c>
      <c r="D732" s="17" t="s">
        <v>1339</v>
      </c>
      <c r="E732" s="17" t="s">
        <v>376</v>
      </c>
      <c r="F732" s="17" t="s">
        <v>234</v>
      </c>
      <c r="G732" s="20">
        <v>7030</v>
      </c>
    </row>
    <row r="733" spans="1:7" ht="36">
      <c r="A733" s="158" t="s">
        <v>377</v>
      </c>
      <c r="B733" s="53" t="s">
        <v>1180</v>
      </c>
      <c r="C733" s="17" t="s">
        <v>1340</v>
      </c>
      <c r="D733" s="17" t="s">
        <v>1339</v>
      </c>
      <c r="E733" s="17" t="s">
        <v>378</v>
      </c>
      <c r="F733" s="17"/>
      <c r="G733" s="19">
        <f>G734+G737</f>
        <v>650</v>
      </c>
    </row>
    <row r="734" spans="1:7" ht="24">
      <c r="A734" s="158" t="s">
        <v>486</v>
      </c>
      <c r="B734" s="53" t="s">
        <v>1180</v>
      </c>
      <c r="C734" s="17" t="s">
        <v>1340</v>
      </c>
      <c r="D734" s="17" t="s">
        <v>1339</v>
      </c>
      <c r="E734" s="17" t="s">
        <v>379</v>
      </c>
      <c r="F734" s="17" t="s">
        <v>402</v>
      </c>
      <c r="G734" s="19">
        <f>G735</f>
        <v>200</v>
      </c>
    </row>
    <row r="735" spans="1:7" ht="24">
      <c r="A735" s="158" t="s">
        <v>471</v>
      </c>
      <c r="B735" s="53" t="s">
        <v>1180</v>
      </c>
      <c r="C735" s="17" t="s">
        <v>1340</v>
      </c>
      <c r="D735" s="17" t="s">
        <v>1339</v>
      </c>
      <c r="E735" s="17" t="s">
        <v>379</v>
      </c>
      <c r="F735" s="17" t="s">
        <v>1333</v>
      </c>
      <c r="G735" s="20">
        <v>200</v>
      </c>
    </row>
    <row r="736" spans="1:7" ht="15" hidden="1">
      <c r="A736" s="158" t="s">
        <v>233</v>
      </c>
      <c r="B736" s="53" t="s">
        <v>1180</v>
      </c>
      <c r="C736" s="17" t="s">
        <v>1340</v>
      </c>
      <c r="D736" s="17" t="s">
        <v>1339</v>
      </c>
      <c r="E736" s="17" t="s">
        <v>379</v>
      </c>
      <c r="F736" s="17" t="s">
        <v>234</v>
      </c>
      <c r="G736" s="20">
        <v>200</v>
      </c>
    </row>
    <row r="737" spans="1:7" ht="24">
      <c r="A737" s="158" t="s">
        <v>1189</v>
      </c>
      <c r="B737" s="53" t="s">
        <v>1180</v>
      </c>
      <c r="C737" s="17" t="s">
        <v>1340</v>
      </c>
      <c r="D737" s="17" t="s">
        <v>1339</v>
      </c>
      <c r="E737" s="17" t="s">
        <v>379</v>
      </c>
      <c r="F737" s="17" t="s">
        <v>1190</v>
      </c>
      <c r="G737" s="19">
        <f>G738</f>
        <v>450</v>
      </c>
    </row>
    <row r="738" spans="1:7" ht="24">
      <c r="A738" s="18" t="s">
        <v>1191</v>
      </c>
      <c r="B738" s="53" t="s">
        <v>1180</v>
      </c>
      <c r="C738" s="17" t="s">
        <v>1340</v>
      </c>
      <c r="D738" s="17" t="s">
        <v>1339</v>
      </c>
      <c r="E738" s="17" t="s">
        <v>379</v>
      </c>
      <c r="F738" s="17" t="s">
        <v>1192</v>
      </c>
      <c r="G738" s="20">
        <f>400+50</f>
        <v>450</v>
      </c>
    </row>
    <row r="739" spans="1:7" ht="15" hidden="1">
      <c r="A739" s="31" t="s">
        <v>1219</v>
      </c>
      <c r="B739" s="53" t="s">
        <v>1180</v>
      </c>
      <c r="C739" s="17" t="s">
        <v>1340</v>
      </c>
      <c r="D739" s="17" t="s">
        <v>1337</v>
      </c>
      <c r="E739" s="17"/>
      <c r="F739" s="17"/>
      <c r="G739" s="19">
        <f>G740</f>
        <v>0</v>
      </c>
    </row>
    <row r="740" spans="1:7" ht="24" hidden="1">
      <c r="A740" s="32" t="s">
        <v>1220</v>
      </c>
      <c r="B740" s="53" t="s">
        <v>1180</v>
      </c>
      <c r="C740" s="17" t="s">
        <v>1340</v>
      </c>
      <c r="D740" s="17" t="s">
        <v>1337</v>
      </c>
      <c r="E740" s="17" t="s">
        <v>461</v>
      </c>
      <c r="F740" s="17"/>
      <c r="G740" s="19">
        <f>G741</f>
        <v>0</v>
      </c>
    </row>
    <row r="741" spans="1:7" ht="15" hidden="1">
      <c r="A741" s="18" t="s">
        <v>1347</v>
      </c>
      <c r="B741" s="53" t="s">
        <v>1180</v>
      </c>
      <c r="C741" s="17" t="s">
        <v>1340</v>
      </c>
      <c r="D741" s="17" t="s">
        <v>1337</v>
      </c>
      <c r="E741" s="17" t="s">
        <v>1221</v>
      </c>
      <c r="F741" s="17" t="s">
        <v>1204</v>
      </c>
      <c r="G741" s="19">
        <f>G742</f>
        <v>0</v>
      </c>
    </row>
    <row r="742" spans="1:7" ht="15" hidden="1">
      <c r="A742" s="18" t="s">
        <v>808</v>
      </c>
      <c r="B742" s="53" t="s">
        <v>1180</v>
      </c>
      <c r="C742" s="17" t="s">
        <v>1340</v>
      </c>
      <c r="D742" s="17" t="s">
        <v>1337</v>
      </c>
      <c r="E742" s="17" t="s">
        <v>1221</v>
      </c>
      <c r="F742" s="17" t="s">
        <v>809</v>
      </c>
      <c r="G742" s="20"/>
    </row>
    <row r="743" spans="1:7" ht="24">
      <c r="A743" s="31" t="s">
        <v>47</v>
      </c>
      <c r="B743" s="53" t="s">
        <v>1180</v>
      </c>
      <c r="C743" s="17" t="s">
        <v>1340</v>
      </c>
      <c r="D743" s="17" t="s">
        <v>191</v>
      </c>
      <c r="E743" s="17"/>
      <c r="F743" s="17"/>
      <c r="G743" s="19">
        <f>G744+G750</f>
        <v>9460.6</v>
      </c>
    </row>
    <row r="744" spans="1:7" ht="24">
      <c r="A744" s="33" t="s">
        <v>1160</v>
      </c>
      <c r="B744" s="53" t="s">
        <v>1180</v>
      </c>
      <c r="C744" s="17" t="s">
        <v>1340</v>
      </c>
      <c r="D744" s="17" t="s">
        <v>191</v>
      </c>
      <c r="E744" s="17" t="s">
        <v>369</v>
      </c>
      <c r="F744" s="17"/>
      <c r="G744" s="19">
        <f>G745</f>
        <v>1884</v>
      </c>
    </row>
    <row r="745" spans="1:7" ht="24">
      <c r="A745" s="36" t="s">
        <v>711</v>
      </c>
      <c r="B745" s="53" t="s">
        <v>1180</v>
      </c>
      <c r="C745" s="17" t="s">
        <v>1340</v>
      </c>
      <c r="D745" s="17" t="s">
        <v>191</v>
      </c>
      <c r="E745" s="17" t="s">
        <v>712</v>
      </c>
      <c r="F745" s="17"/>
      <c r="G745" s="19">
        <f>G746</f>
        <v>1884</v>
      </c>
    </row>
    <row r="746" spans="1:7" ht="24">
      <c r="A746" s="158" t="s">
        <v>486</v>
      </c>
      <c r="B746" s="53" t="s">
        <v>1180</v>
      </c>
      <c r="C746" s="17" t="s">
        <v>1340</v>
      </c>
      <c r="D746" s="17" t="s">
        <v>191</v>
      </c>
      <c r="E746" s="17" t="s">
        <v>1380</v>
      </c>
      <c r="F746" s="17" t="s">
        <v>402</v>
      </c>
      <c r="G746" s="19">
        <f>G747</f>
        <v>1884</v>
      </c>
    </row>
    <row r="747" spans="1:7" ht="24">
      <c r="A747" s="158" t="s">
        <v>471</v>
      </c>
      <c r="B747" s="53" t="s">
        <v>1180</v>
      </c>
      <c r="C747" s="17" t="s">
        <v>1340</v>
      </c>
      <c r="D747" s="17" t="s">
        <v>191</v>
      </c>
      <c r="E747" s="17" t="s">
        <v>1380</v>
      </c>
      <c r="F747" s="17" t="s">
        <v>1333</v>
      </c>
      <c r="G747" s="20">
        <f>2084-200</f>
        <v>1884</v>
      </c>
    </row>
    <row r="748" spans="1:7" ht="24" hidden="1">
      <c r="A748" s="158" t="s">
        <v>52</v>
      </c>
      <c r="B748" s="53" t="s">
        <v>1180</v>
      </c>
      <c r="C748" s="17" t="s">
        <v>1340</v>
      </c>
      <c r="D748" s="17" t="s">
        <v>191</v>
      </c>
      <c r="E748" s="17" t="s">
        <v>1380</v>
      </c>
      <c r="F748" s="17" t="s">
        <v>465</v>
      </c>
      <c r="G748" s="20">
        <v>1584</v>
      </c>
    </row>
    <row r="749" spans="1:7" ht="15" hidden="1">
      <c r="A749" s="158" t="s">
        <v>233</v>
      </c>
      <c r="B749" s="53" t="s">
        <v>1180</v>
      </c>
      <c r="C749" s="17" t="s">
        <v>1340</v>
      </c>
      <c r="D749" s="17" t="s">
        <v>191</v>
      </c>
      <c r="E749" s="17" t="s">
        <v>1380</v>
      </c>
      <c r="F749" s="17" t="s">
        <v>234</v>
      </c>
      <c r="G749" s="20">
        <v>500</v>
      </c>
    </row>
    <row r="750" spans="1:7" ht="36">
      <c r="A750" s="29" t="s">
        <v>1289</v>
      </c>
      <c r="B750" s="53" t="s">
        <v>1180</v>
      </c>
      <c r="C750" s="17" t="s">
        <v>1340</v>
      </c>
      <c r="D750" s="17" t="s">
        <v>191</v>
      </c>
      <c r="E750" s="17" t="s">
        <v>1290</v>
      </c>
      <c r="F750" s="17" t="s">
        <v>1204</v>
      </c>
      <c r="G750" s="19">
        <f>G751+G754</f>
        <v>7576.6</v>
      </c>
    </row>
    <row r="751" spans="1:7" ht="24">
      <c r="A751" s="158" t="s">
        <v>486</v>
      </c>
      <c r="B751" s="53" t="s">
        <v>1180</v>
      </c>
      <c r="C751" s="17" t="s">
        <v>1340</v>
      </c>
      <c r="D751" s="17" t="s">
        <v>191</v>
      </c>
      <c r="E751" s="17" t="s">
        <v>1291</v>
      </c>
      <c r="F751" s="17" t="s">
        <v>402</v>
      </c>
      <c r="G751" s="19">
        <f>G752</f>
        <v>6376.6</v>
      </c>
    </row>
    <row r="752" spans="1:7" ht="24">
      <c r="A752" s="158" t="s">
        <v>471</v>
      </c>
      <c r="B752" s="53" t="s">
        <v>1180</v>
      </c>
      <c r="C752" s="17" t="s">
        <v>1340</v>
      </c>
      <c r="D752" s="17" t="s">
        <v>191</v>
      </c>
      <c r="E752" s="17" t="s">
        <v>1291</v>
      </c>
      <c r="F752" s="17" t="s">
        <v>1333</v>
      </c>
      <c r="G752" s="20">
        <f>4517.5+1121.5+1537.6-800</f>
        <v>6376.6</v>
      </c>
    </row>
    <row r="753" spans="1:7" ht="15" hidden="1">
      <c r="A753" s="158" t="s">
        <v>233</v>
      </c>
      <c r="B753" s="53" t="s">
        <v>1180</v>
      </c>
      <c r="C753" s="17" t="s">
        <v>1340</v>
      </c>
      <c r="D753" s="17" t="s">
        <v>191</v>
      </c>
      <c r="E753" s="17" t="s">
        <v>1291</v>
      </c>
      <c r="F753" s="17" t="s">
        <v>234</v>
      </c>
      <c r="G753" s="20">
        <v>4517.5</v>
      </c>
    </row>
    <row r="754" spans="1:7" ht="24">
      <c r="A754" s="158" t="s">
        <v>1189</v>
      </c>
      <c r="B754" s="53" t="s">
        <v>1180</v>
      </c>
      <c r="C754" s="17" t="s">
        <v>1340</v>
      </c>
      <c r="D754" s="17" t="s">
        <v>191</v>
      </c>
      <c r="E754" s="17" t="s">
        <v>1291</v>
      </c>
      <c r="F754" s="17" t="s">
        <v>1190</v>
      </c>
      <c r="G754" s="19">
        <f>G755</f>
        <v>1200</v>
      </c>
    </row>
    <row r="755" spans="1:7" ht="24">
      <c r="A755" s="18" t="s">
        <v>1191</v>
      </c>
      <c r="B755" s="53" t="s">
        <v>1180</v>
      </c>
      <c r="C755" s="17" t="s">
        <v>1340</v>
      </c>
      <c r="D755" s="17" t="s">
        <v>191</v>
      </c>
      <c r="E755" s="17" t="s">
        <v>1291</v>
      </c>
      <c r="F755" s="17" t="s">
        <v>1192</v>
      </c>
      <c r="G755" s="20">
        <v>1200</v>
      </c>
    </row>
    <row r="756" spans="1:7" ht="15.75">
      <c r="A756" s="56" t="s">
        <v>991</v>
      </c>
      <c r="B756" s="53" t="s">
        <v>1180</v>
      </c>
      <c r="C756" s="34" t="s">
        <v>118</v>
      </c>
      <c r="D756" s="34"/>
      <c r="E756" s="27"/>
      <c r="F756" s="27"/>
      <c r="G756" s="2">
        <f>G757+G765++G783+G799+G815</f>
        <v>380605</v>
      </c>
    </row>
    <row r="757" spans="1:7" ht="15">
      <c r="A757" s="78" t="s">
        <v>115</v>
      </c>
      <c r="B757" s="53" t="s">
        <v>1180</v>
      </c>
      <c r="C757" s="34" t="s">
        <v>118</v>
      </c>
      <c r="D757" s="34" t="s">
        <v>1338</v>
      </c>
      <c r="E757" s="27"/>
      <c r="F757" s="27"/>
      <c r="G757" s="19">
        <f>G760</f>
        <v>2500</v>
      </c>
    </row>
    <row r="758" spans="1:7" ht="24">
      <c r="A758" s="33" t="s">
        <v>983</v>
      </c>
      <c r="B758" s="53" t="s">
        <v>1180</v>
      </c>
      <c r="C758" s="34" t="s">
        <v>118</v>
      </c>
      <c r="D758" s="34" t="s">
        <v>1338</v>
      </c>
      <c r="E758" s="27" t="s">
        <v>1293</v>
      </c>
      <c r="F758" s="27"/>
      <c r="G758" s="19">
        <f>G759</f>
        <v>2500</v>
      </c>
    </row>
    <row r="759" spans="1:7" ht="24">
      <c r="A759" s="36" t="s">
        <v>1292</v>
      </c>
      <c r="B759" s="53" t="s">
        <v>1180</v>
      </c>
      <c r="C759" s="34" t="s">
        <v>118</v>
      </c>
      <c r="D759" s="34" t="s">
        <v>1338</v>
      </c>
      <c r="E759" s="27" t="s">
        <v>1294</v>
      </c>
      <c r="F759" s="27"/>
      <c r="G759" s="19">
        <f>G760</f>
        <v>2500</v>
      </c>
    </row>
    <row r="760" spans="1:7" ht="24">
      <c r="A760" s="36" t="s">
        <v>574</v>
      </c>
      <c r="B760" s="53" t="s">
        <v>1180</v>
      </c>
      <c r="C760" s="34" t="s">
        <v>118</v>
      </c>
      <c r="D760" s="34" t="s">
        <v>1338</v>
      </c>
      <c r="E760" s="27" t="s">
        <v>1295</v>
      </c>
      <c r="F760" s="27" t="s">
        <v>1204</v>
      </c>
      <c r="G760" s="19">
        <f>G761</f>
        <v>2500</v>
      </c>
    </row>
    <row r="761" spans="1:7" ht="23.25" customHeight="1">
      <c r="A761" s="36" t="s">
        <v>263</v>
      </c>
      <c r="B761" s="53" t="s">
        <v>1180</v>
      </c>
      <c r="C761" s="34" t="s">
        <v>118</v>
      </c>
      <c r="D761" s="34" t="s">
        <v>1338</v>
      </c>
      <c r="E761" s="17" t="s">
        <v>1295</v>
      </c>
      <c r="F761" s="17" t="s">
        <v>1204</v>
      </c>
      <c r="G761" s="85">
        <f>G762</f>
        <v>2500</v>
      </c>
    </row>
    <row r="762" spans="1:7" ht="23.25" customHeight="1">
      <c r="A762" s="36" t="s">
        <v>459</v>
      </c>
      <c r="B762" s="53" t="s">
        <v>1180</v>
      </c>
      <c r="C762" s="34" t="s">
        <v>118</v>
      </c>
      <c r="D762" s="34" t="s">
        <v>1338</v>
      </c>
      <c r="E762" s="17" t="s">
        <v>1295</v>
      </c>
      <c r="F762" s="17" t="s">
        <v>641</v>
      </c>
      <c r="G762" s="85">
        <f>G763</f>
        <v>2500</v>
      </c>
    </row>
    <row r="763" spans="1:7" ht="17.25" customHeight="1">
      <c r="A763" s="18" t="s">
        <v>418</v>
      </c>
      <c r="B763" s="53" t="s">
        <v>1180</v>
      </c>
      <c r="C763" s="34" t="s">
        <v>118</v>
      </c>
      <c r="D763" s="34" t="s">
        <v>1338</v>
      </c>
      <c r="E763" s="17" t="s">
        <v>1295</v>
      </c>
      <c r="F763" s="17" t="s">
        <v>419</v>
      </c>
      <c r="G763" s="55">
        <f>1000+1500</f>
        <v>2500</v>
      </c>
    </row>
    <row r="764" spans="1:7" ht="27" customHeight="1" hidden="1">
      <c r="A764" s="18" t="s">
        <v>417</v>
      </c>
      <c r="B764" s="53" t="s">
        <v>1180</v>
      </c>
      <c r="C764" s="54" t="s">
        <v>118</v>
      </c>
      <c r="D764" s="54" t="s">
        <v>1338</v>
      </c>
      <c r="E764" s="17" t="s">
        <v>1295</v>
      </c>
      <c r="F764" s="17" t="s">
        <v>420</v>
      </c>
      <c r="G764" s="55">
        <v>1000</v>
      </c>
    </row>
    <row r="765" spans="1:7" ht="15">
      <c r="A765" s="31" t="s">
        <v>959</v>
      </c>
      <c r="B765" s="53" t="s">
        <v>1180</v>
      </c>
      <c r="C765" s="17" t="s">
        <v>118</v>
      </c>
      <c r="D765" s="17" t="s">
        <v>806</v>
      </c>
      <c r="E765" s="17"/>
      <c r="F765" s="17"/>
      <c r="G765" s="19">
        <f>G768</f>
        <v>101443.9</v>
      </c>
    </row>
    <row r="766" spans="1:7" ht="24">
      <c r="A766" s="33" t="s">
        <v>1435</v>
      </c>
      <c r="B766" s="53" t="s">
        <v>1180</v>
      </c>
      <c r="C766" s="17" t="s">
        <v>118</v>
      </c>
      <c r="D766" s="17" t="s">
        <v>806</v>
      </c>
      <c r="E766" s="17" t="s">
        <v>1296</v>
      </c>
      <c r="F766" s="17"/>
      <c r="G766" s="19">
        <f>G767</f>
        <v>101443.9</v>
      </c>
    </row>
    <row r="767" spans="1:7" ht="36">
      <c r="A767" s="36" t="s">
        <v>315</v>
      </c>
      <c r="B767" s="53" t="s">
        <v>1180</v>
      </c>
      <c r="C767" s="17" t="s">
        <v>118</v>
      </c>
      <c r="D767" s="17" t="s">
        <v>806</v>
      </c>
      <c r="E767" s="17" t="s">
        <v>316</v>
      </c>
      <c r="F767" s="17"/>
      <c r="G767" s="19">
        <f>G768</f>
        <v>101443.9</v>
      </c>
    </row>
    <row r="768" spans="1:7" ht="17.25" customHeight="1">
      <c r="A768" s="33" t="s">
        <v>264</v>
      </c>
      <c r="B768" s="53" t="s">
        <v>1180</v>
      </c>
      <c r="C768" s="17" t="s">
        <v>118</v>
      </c>
      <c r="D768" s="17" t="s">
        <v>806</v>
      </c>
      <c r="E768" s="17" t="s">
        <v>316</v>
      </c>
      <c r="F768" s="17"/>
      <c r="G768" s="19">
        <f>G769+G772+G775+G779</f>
        <v>101443.9</v>
      </c>
    </row>
    <row r="769" spans="1:7" ht="24.75" customHeight="1">
      <c r="A769" s="158" t="s">
        <v>486</v>
      </c>
      <c r="B769" s="53" t="s">
        <v>1180</v>
      </c>
      <c r="C769" s="17" t="s">
        <v>118</v>
      </c>
      <c r="D769" s="17" t="s">
        <v>806</v>
      </c>
      <c r="E769" s="17" t="s">
        <v>447</v>
      </c>
      <c r="F769" s="17" t="s">
        <v>402</v>
      </c>
      <c r="G769" s="19">
        <f>G770</f>
        <v>100355.9</v>
      </c>
    </row>
    <row r="770" spans="1:7" ht="21" customHeight="1">
      <c r="A770" s="158" t="s">
        <v>471</v>
      </c>
      <c r="B770" s="53" t="s">
        <v>1180</v>
      </c>
      <c r="C770" s="17" t="s">
        <v>118</v>
      </c>
      <c r="D770" s="17" t="s">
        <v>806</v>
      </c>
      <c r="E770" s="17" t="s">
        <v>447</v>
      </c>
      <c r="F770" s="17" t="s">
        <v>1333</v>
      </c>
      <c r="G770" s="20">
        <v>100355.9</v>
      </c>
    </row>
    <row r="771" spans="1:7" ht="20.25" customHeight="1" hidden="1">
      <c r="A771" s="158" t="s">
        <v>233</v>
      </c>
      <c r="B771" s="53" t="s">
        <v>1180</v>
      </c>
      <c r="C771" s="17" t="s">
        <v>118</v>
      </c>
      <c r="D771" s="17" t="s">
        <v>806</v>
      </c>
      <c r="E771" s="17" t="s">
        <v>447</v>
      </c>
      <c r="F771" s="17" t="s">
        <v>234</v>
      </c>
      <c r="G771" s="20">
        <f>93691+6664.9</f>
        <v>100355.9</v>
      </c>
    </row>
    <row r="772" spans="1:7" ht="19.5" customHeight="1">
      <c r="A772" s="36" t="s">
        <v>800</v>
      </c>
      <c r="B772" s="53" t="s">
        <v>1180</v>
      </c>
      <c r="C772" s="17" t="s">
        <v>118</v>
      </c>
      <c r="D772" s="17" t="s">
        <v>806</v>
      </c>
      <c r="E772" s="17" t="s">
        <v>446</v>
      </c>
      <c r="F772" s="17" t="s">
        <v>1204</v>
      </c>
      <c r="G772" s="19">
        <f>G773</f>
        <v>598</v>
      </c>
    </row>
    <row r="773" spans="1:7" ht="19.5" customHeight="1">
      <c r="A773" s="158" t="s">
        <v>1189</v>
      </c>
      <c r="B773" s="53" t="s">
        <v>1180</v>
      </c>
      <c r="C773" s="17" t="s">
        <v>118</v>
      </c>
      <c r="D773" s="17" t="s">
        <v>806</v>
      </c>
      <c r="E773" s="17" t="s">
        <v>446</v>
      </c>
      <c r="F773" s="17" t="s">
        <v>1190</v>
      </c>
      <c r="G773" s="19">
        <f>G774</f>
        <v>598</v>
      </c>
    </row>
    <row r="774" spans="1:7" ht="42" customHeight="1">
      <c r="A774" s="18" t="s">
        <v>445</v>
      </c>
      <c r="B774" s="53" t="s">
        <v>1180</v>
      </c>
      <c r="C774" s="17" t="s">
        <v>118</v>
      </c>
      <c r="D774" s="17" t="s">
        <v>806</v>
      </c>
      <c r="E774" s="17" t="s">
        <v>446</v>
      </c>
      <c r="F774" s="17" t="s">
        <v>467</v>
      </c>
      <c r="G774" s="20">
        <v>598</v>
      </c>
    </row>
    <row r="775" spans="1:7" ht="52.5" customHeight="1">
      <c r="A775" s="18" t="s">
        <v>451</v>
      </c>
      <c r="B775" s="53" t="s">
        <v>1180</v>
      </c>
      <c r="C775" s="17" t="s">
        <v>118</v>
      </c>
      <c r="D775" s="17" t="s">
        <v>806</v>
      </c>
      <c r="E775" s="17" t="s">
        <v>448</v>
      </c>
      <c r="F775" s="17" t="s">
        <v>1204</v>
      </c>
      <c r="G775" s="19">
        <f>G776</f>
        <v>125</v>
      </c>
    </row>
    <row r="776" spans="1:7" ht="24" customHeight="1">
      <c r="A776" s="158" t="s">
        <v>486</v>
      </c>
      <c r="B776" s="53" t="s">
        <v>1180</v>
      </c>
      <c r="C776" s="17" t="s">
        <v>118</v>
      </c>
      <c r="D776" s="17" t="s">
        <v>806</v>
      </c>
      <c r="E776" s="17" t="s">
        <v>448</v>
      </c>
      <c r="F776" s="17" t="s">
        <v>402</v>
      </c>
      <c r="G776" s="19">
        <f>G777</f>
        <v>125</v>
      </c>
    </row>
    <row r="777" spans="1:7" ht="19.5" customHeight="1">
      <c r="A777" s="158" t="s">
        <v>471</v>
      </c>
      <c r="B777" s="53" t="s">
        <v>1180</v>
      </c>
      <c r="C777" s="17" t="s">
        <v>118</v>
      </c>
      <c r="D777" s="17" t="s">
        <v>806</v>
      </c>
      <c r="E777" s="17" t="s">
        <v>448</v>
      </c>
      <c r="F777" s="17" t="s">
        <v>1333</v>
      </c>
      <c r="G777" s="20">
        <f>365-240</f>
        <v>125</v>
      </c>
    </row>
    <row r="778" spans="1:7" ht="19.5" customHeight="1" hidden="1">
      <c r="A778" s="158" t="s">
        <v>233</v>
      </c>
      <c r="B778" s="53" t="s">
        <v>1180</v>
      </c>
      <c r="C778" s="17" t="s">
        <v>118</v>
      </c>
      <c r="D778" s="17" t="s">
        <v>806</v>
      </c>
      <c r="E778" s="17" t="s">
        <v>448</v>
      </c>
      <c r="F778" s="17" t="s">
        <v>234</v>
      </c>
      <c r="G778" s="20">
        <v>365</v>
      </c>
    </row>
    <row r="779" spans="1:7" ht="67.5" customHeight="1">
      <c r="A779" s="18" t="s">
        <v>1422</v>
      </c>
      <c r="B779" s="53" t="s">
        <v>1180</v>
      </c>
      <c r="C779" s="17" t="s">
        <v>118</v>
      </c>
      <c r="D779" s="17" t="s">
        <v>806</v>
      </c>
      <c r="E779" s="17" t="s">
        <v>1423</v>
      </c>
      <c r="F779" s="17" t="s">
        <v>1204</v>
      </c>
      <c r="G779" s="19">
        <f>G780</f>
        <v>365</v>
      </c>
    </row>
    <row r="780" spans="1:7" ht="23.25" customHeight="1">
      <c r="A780" s="158" t="s">
        <v>486</v>
      </c>
      <c r="B780" s="53" t="s">
        <v>1180</v>
      </c>
      <c r="C780" s="17" t="s">
        <v>118</v>
      </c>
      <c r="D780" s="17" t="s">
        <v>806</v>
      </c>
      <c r="E780" s="17" t="s">
        <v>1423</v>
      </c>
      <c r="F780" s="17" t="s">
        <v>402</v>
      </c>
      <c r="G780" s="19">
        <f>G781</f>
        <v>365</v>
      </c>
    </row>
    <row r="781" spans="1:7" ht="18.75" customHeight="1">
      <c r="A781" s="158" t="s">
        <v>471</v>
      </c>
      <c r="B781" s="53" t="s">
        <v>1180</v>
      </c>
      <c r="C781" s="17" t="s">
        <v>118</v>
      </c>
      <c r="D781" s="17" t="s">
        <v>806</v>
      </c>
      <c r="E781" s="17" t="s">
        <v>1423</v>
      </c>
      <c r="F781" s="17" t="s">
        <v>1333</v>
      </c>
      <c r="G781" s="20">
        <v>365</v>
      </c>
    </row>
    <row r="782" spans="1:7" ht="17.25" customHeight="1" hidden="1">
      <c r="A782" s="158" t="s">
        <v>233</v>
      </c>
      <c r="B782" s="53" t="s">
        <v>1180</v>
      </c>
      <c r="C782" s="17" t="s">
        <v>118</v>
      </c>
      <c r="D782" s="17" t="s">
        <v>806</v>
      </c>
      <c r="E782" s="17" t="s">
        <v>1423</v>
      </c>
      <c r="F782" s="17" t="s">
        <v>234</v>
      </c>
      <c r="G782" s="20">
        <v>365</v>
      </c>
    </row>
    <row r="783" spans="1:7" ht="15">
      <c r="A783" s="67" t="s">
        <v>219</v>
      </c>
      <c r="B783" s="53" t="s">
        <v>1180</v>
      </c>
      <c r="C783" s="17" t="s">
        <v>118</v>
      </c>
      <c r="D783" s="17" t="s">
        <v>1339</v>
      </c>
      <c r="E783" s="17"/>
      <c r="F783" s="17"/>
      <c r="G783" s="19">
        <f>G784+G796</f>
        <v>250094.00000000003</v>
      </c>
    </row>
    <row r="784" spans="1:7" ht="27.75" customHeight="1">
      <c r="A784" s="33" t="s">
        <v>1435</v>
      </c>
      <c r="B784" s="53" t="s">
        <v>1180</v>
      </c>
      <c r="C784" s="17" t="s">
        <v>118</v>
      </c>
      <c r="D784" s="17" t="s">
        <v>1339</v>
      </c>
      <c r="E784" s="17" t="s">
        <v>1296</v>
      </c>
      <c r="F784" s="17"/>
      <c r="G784" s="19">
        <f>G785+G793</f>
        <v>247788.00000000003</v>
      </c>
    </row>
    <row r="785" spans="1:7" ht="33.75" customHeight="1">
      <c r="A785" s="36" t="s">
        <v>206</v>
      </c>
      <c r="B785" s="53" t="s">
        <v>1180</v>
      </c>
      <c r="C785" s="17" t="s">
        <v>118</v>
      </c>
      <c r="D785" s="17" t="s">
        <v>1339</v>
      </c>
      <c r="E785" s="17" t="s">
        <v>207</v>
      </c>
      <c r="F785" s="17" t="s">
        <v>1204</v>
      </c>
      <c r="G785" s="19">
        <f>G786+G790</f>
        <v>223607.10000000003</v>
      </c>
    </row>
    <row r="786" spans="1:7" ht="28.5" customHeight="1">
      <c r="A786" s="158" t="s">
        <v>486</v>
      </c>
      <c r="B786" s="53" t="s">
        <v>1180</v>
      </c>
      <c r="C786" s="17" t="s">
        <v>118</v>
      </c>
      <c r="D786" s="17" t="s">
        <v>1339</v>
      </c>
      <c r="E786" s="17" t="s">
        <v>210</v>
      </c>
      <c r="F786" s="17" t="s">
        <v>402</v>
      </c>
      <c r="G786" s="19">
        <f>G787</f>
        <v>113133.40000000002</v>
      </c>
    </row>
    <row r="787" spans="1:7" ht="21" customHeight="1">
      <c r="A787" s="158" t="s">
        <v>471</v>
      </c>
      <c r="B787" s="53" t="s">
        <v>1180</v>
      </c>
      <c r="C787" s="17" t="s">
        <v>118</v>
      </c>
      <c r="D787" s="17" t="s">
        <v>1339</v>
      </c>
      <c r="E787" s="17" t="s">
        <v>210</v>
      </c>
      <c r="F787" s="17" t="s">
        <v>1333</v>
      </c>
      <c r="G787" s="20">
        <f>69500+7205.6+89.5+17420+20188.8+187.5-20188.8+0.1+128.4+959.8+3566.6+1426.3+9969.6-820+3500</f>
        <v>113133.40000000002</v>
      </c>
    </row>
    <row r="788" spans="1:7" ht="24" hidden="1">
      <c r="A788" s="158" t="s">
        <v>52</v>
      </c>
      <c r="B788" s="53" t="s">
        <v>1180</v>
      </c>
      <c r="C788" s="17" t="s">
        <v>118</v>
      </c>
      <c r="D788" s="17" t="s">
        <v>1339</v>
      </c>
      <c r="E788" s="17" t="s">
        <v>210</v>
      </c>
      <c r="F788" s="17" t="s">
        <v>465</v>
      </c>
      <c r="G788" s="20">
        <v>64500</v>
      </c>
    </row>
    <row r="789" spans="1:7" ht="15" hidden="1">
      <c r="A789" s="158" t="s">
        <v>233</v>
      </c>
      <c r="B789" s="53" t="s">
        <v>1180</v>
      </c>
      <c r="C789" s="17" t="s">
        <v>118</v>
      </c>
      <c r="D789" s="17" t="s">
        <v>1339</v>
      </c>
      <c r="E789" s="17" t="s">
        <v>210</v>
      </c>
      <c r="F789" s="17" t="s">
        <v>234</v>
      </c>
      <c r="G789" s="20">
        <v>5000</v>
      </c>
    </row>
    <row r="790" spans="1:7" ht="24">
      <c r="A790" s="36" t="s">
        <v>459</v>
      </c>
      <c r="B790" s="53" t="s">
        <v>1180</v>
      </c>
      <c r="C790" s="17" t="s">
        <v>118</v>
      </c>
      <c r="D790" s="17" t="s">
        <v>1339</v>
      </c>
      <c r="E790" s="17" t="s">
        <v>210</v>
      </c>
      <c r="F790" s="17" t="s">
        <v>641</v>
      </c>
      <c r="G790" s="19">
        <f>G791</f>
        <v>110473.7</v>
      </c>
    </row>
    <row r="791" spans="1:7" ht="24">
      <c r="A791" s="18" t="s">
        <v>390</v>
      </c>
      <c r="B791" s="53" t="s">
        <v>1180</v>
      </c>
      <c r="C791" s="17" t="s">
        <v>118</v>
      </c>
      <c r="D791" s="17" t="s">
        <v>1339</v>
      </c>
      <c r="E791" s="17" t="s">
        <v>210</v>
      </c>
      <c r="F791" s="17" t="s">
        <v>419</v>
      </c>
      <c r="G791" s="20">
        <f>110000+378.3+343.4-248</f>
        <v>110473.7</v>
      </c>
    </row>
    <row r="792" spans="1:7" ht="28.5" customHeight="1">
      <c r="A792" s="18" t="s">
        <v>296</v>
      </c>
      <c r="B792" s="53" t="s">
        <v>1180</v>
      </c>
      <c r="C792" s="17" t="s">
        <v>118</v>
      </c>
      <c r="D792" s="17" t="s">
        <v>1339</v>
      </c>
      <c r="E792" s="17" t="s">
        <v>210</v>
      </c>
      <c r="F792" s="17" t="s">
        <v>419</v>
      </c>
      <c r="G792" s="80">
        <v>378.3</v>
      </c>
    </row>
    <row r="793" spans="1:7" ht="36">
      <c r="A793" s="29" t="s">
        <v>208</v>
      </c>
      <c r="B793" s="53" t="s">
        <v>1180</v>
      </c>
      <c r="C793" s="17" t="s">
        <v>118</v>
      </c>
      <c r="D793" s="17" t="s">
        <v>1339</v>
      </c>
      <c r="E793" s="17" t="s">
        <v>209</v>
      </c>
      <c r="F793" s="17" t="s">
        <v>1204</v>
      </c>
      <c r="G793" s="19">
        <f>G794</f>
        <v>24180.9</v>
      </c>
    </row>
    <row r="794" spans="1:7" ht="24">
      <c r="A794" s="158" t="s">
        <v>486</v>
      </c>
      <c r="B794" s="53" t="s">
        <v>1180</v>
      </c>
      <c r="C794" s="17" t="s">
        <v>118</v>
      </c>
      <c r="D794" s="17" t="s">
        <v>1339</v>
      </c>
      <c r="E794" s="17" t="s">
        <v>211</v>
      </c>
      <c r="F794" s="17" t="s">
        <v>402</v>
      </c>
      <c r="G794" s="19">
        <f>G795</f>
        <v>24180.9</v>
      </c>
    </row>
    <row r="795" spans="1:7" ht="24">
      <c r="A795" s="158" t="s">
        <v>471</v>
      </c>
      <c r="B795" s="53" t="s">
        <v>1180</v>
      </c>
      <c r="C795" s="17" t="s">
        <v>118</v>
      </c>
      <c r="D795" s="17" t="s">
        <v>1339</v>
      </c>
      <c r="E795" s="17" t="s">
        <v>211</v>
      </c>
      <c r="F795" s="17" t="s">
        <v>1333</v>
      </c>
      <c r="G795" s="20">
        <f>22610.9+820+750</f>
        <v>24180.9</v>
      </c>
    </row>
    <row r="796" spans="1:7" ht="34.5" customHeight="1">
      <c r="A796" s="18" t="s">
        <v>609</v>
      </c>
      <c r="B796" s="53" t="s">
        <v>1180</v>
      </c>
      <c r="C796" s="17" t="s">
        <v>118</v>
      </c>
      <c r="D796" s="17" t="s">
        <v>1339</v>
      </c>
      <c r="E796" s="17" t="s">
        <v>1227</v>
      </c>
      <c r="F796" s="17" t="s">
        <v>1204</v>
      </c>
      <c r="G796" s="19">
        <f>G797</f>
        <v>2306</v>
      </c>
    </row>
    <row r="797" spans="1:7" ht="34.5" customHeight="1">
      <c r="A797" s="158" t="s">
        <v>486</v>
      </c>
      <c r="B797" s="53" t="s">
        <v>1180</v>
      </c>
      <c r="C797" s="17" t="s">
        <v>118</v>
      </c>
      <c r="D797" s="17" t="s">
        <v>1339</v>
      </c>
      <c r="E797" s="17" t="s">
        <v>1227</v>
      </c>
      <c r="F797" s="17" t="s">
        <v>402</v>
      </c>
      <c r="G797" s="19">
        <f>G798</f>
        <v>2306</v>
      </c>
    </row>
    <row r="798" spans="1:7" ht="24.75" customHeight="1">
      <c r="A798" s="158" t="s">
        <v>471</v>
      </c>
      <c r="B798" s="53" t="s">
        <v>1180</v>
      </c>
      <c r="C798" s="17" t="s">
        <v>118</v>
      </c>
      <c r="D798" s="17" t="s">
        <v>1339</v>
      </c>
      <c r="E798" s="17" t="s">
        <v>1227</v>
      </c>
      <c r="F798" s="17" t="s">
        <v>1333</v>
      </c>
      <c r="G798" s="20">
        <f>322+500+1484</f>
        <v>2306</v>
      </c>
    </row>
    <row r="799" spans="1:7" ht="15">
      <c r="A799" s="31" t="s">
        <v>869</v>
      </c>
      <c r="B799" s="53" t="s">
        <v>1180</v>
      </c>
      <c r="C799" s="17" t="s">
        <v>118</v>
      </c>
      <c r="D799" s="17" t="s">
        <v>1337</v>
      </c>
      <c r="E799" s="17"/>
      <c r="F799" s="17"/>
      <c r="G799" s="19">
        <f>G800+G810</f>
        <v>21779.6</v>
      </c>
    </row>
    <row r="800" spans="1:7" ht="15">
      <c r="A800" s="32" t="s">
        <v>328</v>
      </c>
      <c r="B800" s="53" t="s">
        <v>1180</v>
      </c>
      <c r="C800" s="17" t="s">
        <v>118</v>
      </c>
      <c r="D800" s="17" t="s">
        <v>1337</v>
      </c>
      <c r="E800" s="17" t="s">
        <v>458</v>
      </c>
      <c r="F800" s="17"/>
      <c r="G800" s="19">
        <f>G801+G806</f>
        <v>9637.6</v>
      </c>
    </row>
    <row r="801" spans="1:7" ht="35.25" customHeight="1">
      <c r="A801" s="36" t="s">
        <v>36</v>
      </c>
      <c r="B801" s="53" t="s">
        <v>1180</v>
      </c>
      <c r="C801" s="17" t="s">
        <v>118</v>
      </c>
      <c r="D801" s="17" t="s">
        <v>1337</v>
      </c>
      <c r="E801" s="17" t="s">
        <v>202</v>
      </c>
      <c r="F801" s="17"/>
      <c r="G801" s="19">
        <f>G802</f>
        <v>4961.6</v>
      </c>
    </row>
    <row r="802" spans="1:7" ht="27.75" customHeight="1">
      <c r="A802" s="36" t="s">
        <v>459</v>
      </c>
      <c r="B802" s="53" t="s">
        <v>1180</v>
      </c>
      <c r="C802" s="17" t="s">
        <v>118</v>
      </c>
      <c r="D802" s="17" t="s">
        <v>1337</v>
      </c>
      <c r="E802" s="17" t="s">
        <v>203</v>
      </c>
      <c r="F802" s="17" t="s">
        <v>641</v>
      </c>
      <c r="G802" s="19">
        <f>G803</f>
        <v>4961.6</v>
      </c>
    </row>
    <row r="803" spans="1:7" ht="24">
      <c r="A803" s="18" t="s">
        <v>522</v>
      </c>
      <c r="B803" s="53" t="s">
        <v>1180</v>
      </c>
      <c r="C803" s="17" t="s">
        <v>118</v>
      </c>
      <c r="D803" s="17" t="s">
        <v>1337</v>
      </c>
      <c r="E803" s="17" t="s">
        <v>203</v>
      </c>
      <c r="F803" s="17" t="s">
        <v>419</v>
      </c>
      <c r="G803" s="20">
        <f>2208+1254.9+1498.7</f>
        <v>4961.6</v>
      </c>
    </row>
    <row r="804" spans="1:7" ht="48">
      <c r="A804" s="18" t="s">
        <v>887</v>
      </c>
      <c r="B804" s="53" t="s">
        <v>1180</v>
      </c>
      <c r="C804" s="17" t="s">
        <v>118</v>
      </c>
      <c r="D804" s="17" t="s">
        <v>1337</v>
      </c>
      <c r="E804" s="17" t="s">
        <v>203</v>
      </c>
      <c r="F804" s="17" t="s">
        <v>419</v>
      </c>
      <c r="G804" s="20">
        <v>1254.9</v>
      </c>
    </row>
    <row r="805" spans="1:7" ht="36">
      <c r="A805" s="18" t="s">
        <v>993</v>
      </c>
      <c r="B805" s="53" t="s">
        <v>1180</v>
      </c>
      <c r="C805" s="17" t="s">
        <v>118</v>
      </c>
      <c r="D805" s="17" t="s">
        <v>1337</v>
      </c>
      <c r="E805" s="17" t="s">
        <v>203</v>
      </c>
      <c r="F805" s="17" t="s">
        <v>419</v>
      </c>
      <c r="G805" s="20">
        <v>1498.7</v>
      </c>
    </row>
    <row r="806" spans="1:7" ht="36">
      <c r="A806" s="159" t="s">
        <v>757</v>
      </c>
      <c r="B806" s="53" t="s">
        <v>1180</v>
      </c>
      <c r="C806" s="17" t="s">
        <v>118</v>
      </c>
      <c r="D806" s="17" t="s">
        <v>1337</v>
      </c>
      <c r="E806" s="17" t="s">
        <v>751</v>
      </c>
      <c r="F806" s="17"/>
      <c r="G806" s="19">
        <f>G807</f>
        <v>4676</v>
      </c>
    </row>
    <row r="807" spans="1:7" ht="36">
      <c r="A807" s="18" t="s">
        <v>567</v>
      </c>
      <c r="B807" s="53" t="s">
        <v>1180</v>
      </c>
      <c r="C807" s="17" t="s">
        <v>118</v>
      </c>
      <c r="D807" s="17" t="s">
        <v>1337</v>
      </c>
      <c r="E807" s="17" t="s">
        <v>1210</v>
      </c>
      <c r="F807" s="17"/>
      <c r="G807" s="19">
        <f>G808</f>
        <v>4676</v>
      </c>
    </row>
    <row r="808" spans="1:7" ht="24">
      <c r="A808" s="158" t="s">
        <v>486</v>
      </c>
      <c r="B808" s="53" t="s">
        <v>1180</v>
      </c>
      <c r="C808" s="17" t="s">
        <v>118</v>
      </c>
      <c r="D808" s="17" t="s">
        <v>1337</v>
      </c>
      <c r="E808" s="17" t="s">
        <v>1210</v>
      </c>
      <c r="F808" s="17" t="s">
        <v>402</v>
      </c>
      <c r="G808" s="19">
        <f>G809</f>
        <v>4676</v>
      </c>
    </row>
    <row r="809" spans="1:7" ht="24">
      <c r="A809" s="158" t="s">
        <v>471</v>
      </c>
      <c r="B809" s="53" t="s">
        <v>1180</v>
      </c>
      <c r="C809" s="17" t="s">
        <v>118</v>
      </c>
      <c r="D809" s="17" t="s">
        <v>1337</v>
      </c>
      <c r="E809" s="17" t="s">
        <v>1210</v>
      </c>
      <c r="F809" s="17" t="s">
        <v>1333</v>
      </c>
      <c r="G809" s="20">
        <v>4676</v>
      </c>
    </row>
    <row r="810" spans="1:7" ht="32.25" customHeight="1">
      <c r="A810" s="33" t="s">
        <v>301</v>
      </c>
      <c r="B810" s="53" t="s">
        <v>1180</v>
      </c>
      <c r="C810" s="17" t="s">
        <v>118</v>
      </c>
      <c r="D810" s="17" t="s">
        <v>1337</v>
      </c>
      <c r="E810" s="17" t="s">
        <v>145</v>
      </c>
      <c r="F810" s="17"/>
      <c r="G810" s="19">
        <f>G811</f>
        <v>12142</v>
      </c>
    </row>
    <row r="811" spans="1:7" ht="27" customHeight="1">
      <c r="A811" s="18" t="s">
        <v>1421</v>
      </c>
      <c r="B811" s="53" t="s">
        <v>1180</v>
      </c>
      <c r="C811" s="17" t="s">
        <v>118</v>
      </c>
      <c r="D811" s="17" t="s">
        <v>1337</v>
      </c>
      <c r="E811" s="17" t="s">
        <v>146</v>
      </c>
      <c r="F811" s="17"/>
      <c r="G811" s="19">
        <f>G812</f>
        <v>12142</v>
      </c>
    </row>
    <row r="812" spans="1:7" ht="31.5" customHeight="1">
      <c r="A812" s="36" t="s">
        <v>459</v>
      </c>
      <c r="B812" s="53" t="s">
        <v>1180</v>
      </c>
      <c r="C812" s="17" t="s">
        <v>118</v>
      </c>
      <c r="D812" s="17" t="s">
        <v>1337</v>
      </c>
      <c r="E812" s="17" t="s">
        <v>1091</v>
      </c>
      <c r="F812" s="17" t="s">
        <v>641</v>
      </c>
      <c r="G812" s="19">
        <f>G813</f>
        <v>12142</v>
      </c>
    </row>
    <row r="813" spans="1:7" ht="17.25" customHeight="1">
      <c r="A813" s="18" t="s">
        <v>418</v>
      </c>
      <c r="B813" s="53" t="s">
        <v>1180</v>
      </c>
      <c r="C813" s="17" t="s">
        <v>118</v>
      </c>
      <c r="D813" s="17" t="s">
        <v>1337</v>
      </c>
      <c r="E813" s="17" t="s">
        <v>1091</v>
      </c>
      <c r="F813" s="17" t="s">
        <v>419</v>
      </c>
      <c r="G813" s="20">
        <v>12142</v>
      </c>
    </row>
    <row r="814" spans="1:7" ht="29.25" customHeight="1" hidden="1">
      <c r="A814" s="18" t="s">
        <v>417</v>
      </c>
      <c r="B814" s="53" t="s">
        <v>1180</v>
      </c>
      <c r="C814" s="17" t="s">
        <v>118</v>
      </c>
      <c r="D814" s="17" t="s">
        <v>1337</v>
      </c>
      <c r="E814" s="17" t="s">
        <v>204</v>
      </c>
      <c r="F814" s="17" t="s">
        <v>420</v>
      </c>
      <c r="G814" s="20">
        <v>12142</v>
      </c>
    </row>
    <row r="815" spans="1:7" ht="17.25" customHeight="1">
      <c r="A815" s="31" t="s">
        <v>48</v>
      </c>
      <c r="B815" s="53" t="s">
        <v>1180</v>
      </c>
      <c r="C815" s="17" t="s">
        <v>118</v>
      </c>
      <c r="D815" s="17" t="s">
        <v>1342</v>
      </c>
      <c r="E815" s="17"/>
      <c r="F815" s="26"/>
      <c r="G815" s="19">
        <f>G816+G822+G828</f>
        <v>4787.5</v>
      </c>
    </row>
    <row r="816" spans="1:7" ht="20.25" customHeight="1">
      <c r="A816" s="32" t="s">
        <v>328</v>
      </c>
      <c r="B816" s="53" t="s">
        <v>1180</v>
      </c>
      <c r="C816" s="17" t="s">
        <v>118</v>
      </c>
      <c r="D816" s="17" t="s">
        <v>1342</v>
      </c>
      <c r="E816" s="17" t="s">
        <v>458</v>
      </c>
      <c r="F816" s="17"/>
      <c r="G816" s="19">
        <f>G817</f>
        <v>1340.3000000000002</v>
      </c>
    </row>
    <row r="817" spans="1:7" ht="60" customHeight="1">
      <c r="A817" s="18" t="s">
        <v>941</v>
      </c>
      <c r="B817" s="53" t="s">
        <v>1180</v>
      </c>
      <c r="C817" s="17" t="s">
        <v>118</v>
      </c>
      <c r="D817" s="17" t="s">
        <v>1342</v>
      </c>
      <c r="E817" s="17" t="s">
        <v>943</v>
      </c>
      <c r="F817" s="17"/>
      <c r="G817" s="19">
        <f>G818</f>
        <v>1340.3000000000002</v>
      </c>
    </row>
    <row r="818" spans="1:7" ht="18.75" customHeight="1">
      <c r="A818" s="29" t="s">
        <v>289</v>
      </c>
      <c r="B818" s="53" t="s">
        <v>1180</v>
      </c>
      <c r="C818" s="17" t="s">
        <v>118</v>
      </c>
      <c r="D818" s="17" t="s">
        <v>1342</v>
      </c>
      <c r="E818" s="17" t="s">
        <v>944</v>
      </c>
      <c r="F818" s="26" t="s">
        <v>1204</v>
      </c>
      <c r="G818" s="19">
        <f>G819</f>
        <v>1340.3000000000002</v>
      </c>
    </row>
    <row r="819" spans="1:7" ht="27" customHeight="1">
      <c r="A819" s="158" t="s">
        <v>486</v>
      </c>
      <c r="B819" s="53" t="s">
        <v>1180</v>
      </c>
      <c r="C819" s="17" t="s">
        <v>118</v>
      </c>
      <c r="D819" s="17" t="s">
        <v>1342</v>
      </c>
      <c r="E819" s="17" t="s">
        <v>944</v>
      </c>
      <c r="F819" s="26" t="s">
        <v>402</v>
      </c>
      <c r="G819" s="19">
        <f>G820</f>
        <v>1340.3000000000002</v>
      </c>
    </row>
    <row r="820" spans="1:7" ht="21" customHeight="1">
      <c r="A820" s="158" t="s">
        <v>471</v>
      </c>
      <c r="B820" s="53" t="s">
        <v>1180</v>
      </c>
      <c r="C820" s="17" t="s">
        <v>118</v>
      </c>
      <c r="D820" s="17" t="s">
        <v>1342</v>
      </c>
      <c r="E820" s="17" t="s">
        <v>944</v>
      </c>
      <c r="F820" s="26" t="s">
        <v>1333</v>
      </c>
      <c r="G820" s="20">
        <f>1425-70-2.1-12.6</f>
        <v>1340.3000000000002</v>
      </c>
    </row>
    <row r="821" spans="1:7" ht="15" hidden="1">
      <c r="A821" s="158" t="s">
        <v>233</v>
      </c>
      <c r="B821" s="53" t="s">
        <v>1180</v>
      </c>
      <c r="C821" s="17" t="s">
        <v>118</v>
      </c>
      <c r="D821" s="17" t="s">
        <v>1342</v>
      </c>
      <c r="E821" s="17" t="s">
        <v>944</v>
      </c>
      <c r="F821" s="26" t="s">
        <v>234</v>
      </c>
      <c r="G821" s="20">
        <v>1450</v>
      </c>
    </row>
    <row r="822" spans="1:7" ht="24">
      <c r="A822" s="158" t="s">
        <v>1406</v>
      </c>
      <c r="B822" s="53" t="s">
        <v>1180</v>
      </c>
      <c r="C822" s="17" t="s">
        <v>118</v>
      </c>
      <c r="D822" s="17" t="s">
        <v>1342</v>
      </c>
      <c r="E822" s="17" t="s">
        <v>1293</v>
      </c>
      <c r="F822" s="26"/>
      <c r="G822" s="19">
        <f>G823</f>
        <v>647.2</v>
      </c>
    </row>
    <row r="823" spans="1:7" ht="24">
      <c r="A823" s="158" t="s">
        <v>1292</v>
      </c>
      <c r="B823" s="53" t="s">
        <v>1180</v>
      </c>
      <c r="C823" s="17" t="s">
        <v>118</v>
      </c>
      <c r="D823" s="17" t="s">
        <v>1342</v>
      </c>
      <c r="E823" s="17" t="s">
        <v>1294</v>
      </c>
      <c r="F823" s="26"/>
      <c r="G823" s="19">
        <f>G824</f>
        <v>647.2</v>
      </c>
    </row>
    <row r="824" spans="1:7" ht="54.75" customHeight="1">
      <c r="A824" s="36" t="s">
        <v>166</v>
      </c>
      <c r="B824" s="53" t="s">
        <v>1180</v>
      </c>
      <c r="C824" s="17" t="s">
        <v>118</v>
      </c>
      <c r="D824" s="17" t="s">
        <v>1342</v>
      </c>
      <c r="E824" s="17" t="s">
        <v>1407</v>
      </c>
      <c r="F824" s="26" t="s">
        <v>1204</v>
      </c>
      <c r="G824" s="19">
        <f>G825</f>
        <v>647.2</v>
      </c>
    </row>
    <row r="825" spans="1:7" ht="24">
      <c r="A825" s="36" t="s">
        <v>459</v>
      </c>
      <c r="B825" s="53" t="s">
        <v>1180</v>
      </c>
      <c r="C825" s="17" t="s">
        <v>118</v>
      </c>
      <c r="D825" s="17" t="s">
        <v>1342</v>
      </c>
      <c r="E825" s="17" t="s">
        <v>1407</v>
      </c>
      <c r="F825" s="26" t="s">
        <v>641</v>
      </c>
      <c r="G825" s="19">
        <f>G826</f>
        <v>647.2</v>
      </c>
    </row>
    <row r="826" spans="1:7" ht="24">
      <c r="A826" s="18" t="s">
        <v>418</v>
      </c>
      <c r="B826" s="53" t="s">
        <v>1180</v>
      </c>
      <c r="C826" s="17" t="s">
        <v>118</v>
      </c>
      <c r="D826" s="17" t="s">
        <v>1342</v>
      </c>
      <c r="E826" s="17" t="s">
        <v>1407</v>
      </c>
      <c r="F826" s="17" t="s">
        <v>419</v>
      </c>
      <c r="G826" s="20">
        <f>720.6-73.4</f>
        <v>647.2</v>
      </c>
    </row>
    <row r="827" spans="1:7" ht="24" hidden="1">
      <c r="A827" s="18" t="s">
        <v>417</v>
      </c>
      <c r="B827" s="53" t="s">
        <v>1180</v>
      </c>
      <c r="C827" s="17" t="s">
        <v>118</v>
      </c>
      <c r="D827" s="17" t="s">
        <v>1342</v>
      </c>
      <c r="E827" s="17" t="s">
        <v>1407</v>
      </c>
      <c r="F827" s="17" t="s">
        <v>420</v>
      </c>
      <c r="G827" s="80">
        <v>720.6</v>
      </c>
    </row>
    <row r="828" spans="1:7" ht="24">
      <c r="A828" s="33" t="s">
        <v>561</v>
      </c>
      <c r="B828" s="53" t="s">
        <v>1180</v>
      </c>
      <c r="C828" s="17" t="s">
        <v>118</v>
      </c>
      <c r="D828" s="17" t="s">
        <v>1342</v>
      </c>
      <c r="E828" s="17" t="s">
        <v>1399</v>
      </c>
      <c r="F828" s="17"/>
      <c r="G828" s="19">
        <f>G829</f>
        <v>2800</v>
      </c>
    </row>
    <row r="829" spans="1:7" ht="24">
      <c r="A829" s="36" t="s">
        <v>19</v>
      </c>
      <c r="B829" s="53" t="s">
        <v>1180</v>
      </c>
      <c r="C829" s="17" t="s">
        <v>118</v>
      </c>
      <c r="D829" s="17" t="s">
        <v>1342</v>
      </c>
      <c r="E829" s="17" t="s">
        <v>1408</v>
      </c>
      <c r="F829" s="17" t="s">
        <v>1204</v>
      </c>
      <c r="G829" s="19">
        <f>G830</f>
        <v>2800</v>
      </c>
    </row>
    <row r="830" spans="1:7" ht="24">
      <c r="A830" s="158" t="s">
        <v>1189</v>
      </c>
      <c r="B830" s="53" t="s">
        <v>1180</v>
      </c>
      <c r="C830" s="17" t="s">
        <v>118</v>
      </c>
      <c r="D830" s="17" t="s">
        <v>1342</v>
      </c>
      <c r="E830" s="17" t="s">
        <v>1408</v>
      </c>
      <c r="F830" s="17" t="s">
        <v>1190</v>
      </c>
      <c r="G830" s="19">
        <f>G831+G832+G833</f>
        <v>2800</v>
      </c>
    </row>
    <row r="831" spans="1:7" ht="48">
      <c r="A831" s="18" t="s">
        <v>744</v>
      </c>
      <c r="B831" s="53" t="s">
        <v>1180</v>
      </c>
      <c r="C831" s="17" t="s">
        <v>118</v>
      </c>
      <c r="D831" s="17" t="s">
        <v>1342</v>
      </c>
      <c r="E831" s="17" t="s">
        <v>1409</v>
      </c>
      <c r="F831" s="17" t="s">
        <v>467</v>
      </c>
      <c r="G831" s="20">
        <v>500</v>
      </c>
    </row>
    <row r="832" spans="1:7" ht="48">
      <c r="A832" s="18" t="s">
        <v>745</v>
      </c>
      <c r="B832" s="53" t="s">
        <v>1180</v>
      </c>
      <c r="C832" s="17" t="s">
        <v>118</v>
      </c>
      <c r="D832" s="17" t="s">
        <v>1342</v>
      </c>
      <c r="E832" s="17" t="s">
        <v>817</v>
      </c>
      <c r="F832" s="17" t="s">
        <v>467</v>
      </c>
      <c r="G832" s="20">
        <f>500+300</f>
        <v>800</v>
      </c>
    </row>
    <row r="833" spans="1:7" ht="96">
      <c r="A833" s="298" t="s">
        <v>938</v>
      </c>
      <c r="B833" s="53" t="s">
        <v>1180</v>
      </c>
      <c r="C833" s="17" t="s">
        <v>118</v>
      </c>
      <c r="D833" s="17" t="s">
        <v>1342</v>
      </c>
      <c r="E833" s="17" t="s">
        <v>614</v>
      </c>
      <c r="F833" s="17" t="s">
        <v>467</v>
      </c>
      <c r="G833" s="20">
        <v>1500</v>
      </c>
    </row>
    <row r="834" spans="1:7" ht="15.75">
      <c r="A834" s="56" t="s">
        <v>1341</v>
      </c>
      <c r="B834" s="53" t="s">
        <v>1180</v>
      </c>
      <c r="C834" s="17" t="s">
        <v>1336</v>
      </c>
      <c r="D834" s="17"/>
      <c r="E834" s="17"/>
      <c r="F834" s="26"/>
      <c r="G834" s="22">
        <f>G835+G849+G870</f>
        <v>557224.5</v>
      </c>
    </row>
    <row r="835" spans="1:7" ht="15">
      <c r="A835" s="31" t="s">
        <v>658</v>
      </c>
      <c r="B835" s="53" t="s">
        <v>1180</v>
      </c>
      <c r="C835" s="26" t="s">
        <v>1336</v>
      </c>
      <c r="D835" s="26" t="s">
        <v>184</v>
      </c>
      <c r="E835" s="26"/>
      <c r="F835" s="26"/>
      <c r="G835" s="19">
        <f>G836+G844</f>
        <v>92096.1</v>
      </c>
    </row>
    <row r="836" spans="1:7" ht="24">
      <c r="A836" s="33" t="s">
        <v>291</v>
      </c>
      <c r="B836" s="53" t="s">
        <v>1180</v>
      </c>
      <c r="C836" s="26" t="s">
        <v>1336</v>
      </c>
      <c r="D836" s="26" t="s">
        <v>184</v>
      </c>
      <c r="E836" s="26" t="s">
        <v>1293</v>
      </c>
      <c r="F836" s="26"/>
      <c r="G836" s="19">
        <f>G837+G841</f>
        <v>65047.6</v>
      </c>
    </row>
    <row r="837" spans="1:7" ht="36">
      <c r="A837" s="36" t="s">
        <v>150</v>
      </c>
      <c r="B837" s="53" t="s">
        <v>1180</v>
      </c>
      <c r="C837" s="26" t="s">
        <v>1336</v>
      </c>
      <c r="D837" s="26" t="s">
        <v>184</v>
      </c>
      <c r="E837" s="26" t="s">
        <v>151</v>
      </c>
      <c r="F837" s="26" t="s">
        <v>1204</v>
      </c>
      <c r="G837" s="19">
        <f>G838</f>
        <v>32556.5</v>
      </c>
    </row>
    <row r="838" spans="1:7" ht="15">
      <c r="A838" s="158" t="s">
        <v>1189</v>
      </c>
      <c r="B838" s="53" t="s">
        <v>1180</v>
      </c>
      <c r="C838" s="26" t="s">
        <v>1336</v>
      </c>
      <c r="D838" s="26" t="s">
        <v>184</v>
      </c>
      <c r="E838" s="26" t="s">
        <v>152</v>
      </c>
      <c r="F838" s="26" t="s">
        <v>1190</v>
      </c>
      <c r="G838" s="19">
        <f>G839+G840</f>
        <v>32556.5</v>
      </c>
    </row>
    <row r="839" spans="1:7" ht="36">
      <c r="A839" s="36" t="s">
        <v>415</v>
      </c>
      <c r="B839" s="53" t="s">
        <v>1180</v>
      </c>
      <c r="C839" s="26" t="s">
        <v>1336</v>
      </c>
      <c r="D839" s="26" t="s">
        <v>184</v>
      </c>
      <c r="E839" s="26" t="s">
        <v>152</v>
      </c>
      <c r="F839" s="26" t="s">
        <v>467</v>
      </c>
      <c r="G839" s="20">
        <f>10000-275.4+704</f>
        <v>10428.6</v>
      </c>
    </row>
    <row r="840" spans="1:7" ht="24">
      <c r="A840" s="36" t="s">
        <v>1096</v>
      </c>
      <c r="B840" s="53" t="s">
        <v>1180</v>
      </c>
      <c r="C840" s="26" t="s">
        <v>1336</v>
      </c>
      <c r="D840" s="26" t="s">
        <v>184</v>
      </c>
      <c r="E840" s="26" t="s">
        <v>152</v>
      </c>
      <c r="F840" s="26" t="s">
        <v>467</v>
      </c>
      <c r="G840" s="20">
        <v>22127.9</v>
      </c>
    </row>
    <row r="841" spans="1:7" ht="33" customHeight="1">
      <c r="A841" s="36" t="s">
        <v>1480</v>
      </c>
      <c r="B841" s="53" t="s">
        <v>1180</v>
      </c>
      <c r="C841" s="17" t="s">
        <v>1336</v>
      </c>
      <c r="D841" s="17" t="s">
        <v>184</v>
      </c>
      <c r="E841" s="17" t="s">
        <v>153</v>
      </c>
      <c r="F841" s="26" t="s">
        <v>1204</v>
      </c>
      <c r="G841" s="19">
        <f>G842</f>
        <v>32491.1</v>
      </c>
    </row>
    <row r="842" spans="1:7" ht="24">
      <c r="A842" s="158" t="s">
        <v>486</v>
      </c>
      <c r="B842" s="53" t="s">
        <v>1180</v>
      </c>
      <c r="C842" s="17" t="s">
        <v>1336</v>
      </c>
      <c r="D842" s="17" t="s">
        <v>184</v>
      </c>
      <c r="E842" s="17" t="s">
        <v>153</v>
      </c>
      <c r="F842" s="26" t="s">
        <v>402</v>
      </c>
      <c r="G842" s="19">
        <f>G843</f>
        <v>32491.1</v>
      </c>
    </row>
    <row r="843" spans="1:7" ht="15">
      <c r="A843" s="158" t="s">
        <v>827</v>
      </c>
      <c r="B843" s="53" t="s">
        <v>1180</v>
      </c>
      <c r="C843" s="17" t="s">
        <v>1336</v>
      </c>
      <c r="D843" s="17" t="s">
        <v>184</v>
      </c>
      <c r="E843" s="17" t="s">
        <v>153</v>
      </c>
      <c r="F843" s="26" t="s">
        <v>1333</v>
      </c>
      <c r="G843" s="20">
        <f>38000-5508.9</f>
        <v>32491.1</v>
      </c>
    </row>
    <row r="844" spans="1:7" ht="18" customHeight="1">
      <c r="A844" s="33" t="s">
        <v>328</v>
      </c>
      <c r="B844" s="53" t="s">
        <v>1180</v>
      </c>
      <c r="C844" s="17" t="s">
        <v>1336</v>
      </c>
      <c r="D844" s="17" t="s">
        <v>184</v>
      </c>
      <c r="E844" s="17" t="s">
        <v>458</v>
      </c>
      <c r="F844" s="26"/>
      <c r="G844" s="19">
        <f>G845</f>
        <v>27048.5</v>
      </c>
    </row>
    <row r="845" spans="1:7" ht="69" customHeight="1">
      <c r="A845" s="36" t="s">
        <v>941</v>
      </c>
      <c r="B845" s="53" t="s">
        <v>1180</v>
      </c>
      <c r="C845" s="17" t="s">
        <v>1336</v>
      </c>
      <c r="D845" s="17" t="s">
        <v>184</v>
      </c>
      <c r="E845" s="17" t="s">
        <v>943</v>
      </c>
      <c r="F845" s="26"/>
      <c r="G845" s="19">
        <f>G846</f>
        <v>27048.5</v>
      </c>
    </row>
    <row r="846" spans="1:7" ht="21" customHeight="1">
      <c r="A846" s="158" t="s">
        <v>486</v>
      </c>
      <c r="B846" s="53" t="s">
        <v>1180</v>
      </c>
      <c r="C846" s="17" t="s">
        <v>1336</v>
      </c>
      <c r="D846" s="17" t="s">
        <v>184</v>
      </c>
      <c r="E846" s="17" t="s">
        <v>1022</v>
      </c>
      <c r="F846" s="26" t="s">
        <v>402</v>
      </c>
      <c r="G846" s="19">
        <f>G847</f>
        <v>27048.5</v>
      </c>
    </row>
    <row r="847" spans="1:7" ht="20.25" customHeight="1">
      <c r="A847" s="158" t="s">
        <v>471</v>
      </c>
      <c r="B847" s="53" t="s">
        <v>1180</v>
      </c>
      <c r="C847" s="17" t="s">
        <v>1336</v>
      </c>
      <c r="D847" s="17" t="s">
        <v>184</v>
      </c>
      <c r="E847" s="17" t="s">
        <v>1022</v>
      </c>
      <c r="F847" s="26" t="s">
        <v>1333</v>
      </c>
      <c r="G847" s="20">
        <f>9679.3+4592.3+6888.4+1174+6888.4+0.1-1174-1000</f>
        <v>27048.5</v>
      </c>
    </row>
    <row r="848" spans="1:7" ht="21" customHeight="1" hidden="1">
      <c r="A848" s="158" t="s">
        <v>233</v>
      </c>
      <c r="B848" s="53" t="s">
        <v>1180</v>
      </c>
      <c r="C848" s="17" t="s">
        <v>1336</v>
      </c>
      <c r="D848" s="17" t="s">
        <v>184</v>
      </c>
      <c r="E848" s="17" t="s">
        <v>1022</v>
      </c>
      <c r="F848" s="26" t="s">
        <v>234</v>
      </c>
      <c r="G848" s="20">
        <v>8430</v>
      </c>
    </row>
    <row r="849" spans="1:7" ht="23.25" customHeight="1">
      <c r="A849" s="5" t="s">
        <v>1102</v>
      </c>
      <c r="B849" s="53" t="s">
        <v>1180</v>
      </c>
      <c r="C849" s="17" t="s">
        <v>1336</v>
      </c>
      <c r="D849" s="17" t="s">
        <v>1154</v>
      </c>
      <c r="E849" s="17"/>
      <c r="F849" s="17"/>
      <c r="G849" s="19">
        <f>G850</f>
        <v>256864.3</v>
      </c>
    </row>
    <row r="850" spans="1:7" ht="24.75" customHeight="1">
      <c r="A850" s="32" t="s">
        <v>291</v>
      </c>
      <c r="B850" s="53" t="s">
        <v>1180</v>
      </c>
      <c r="C850" s="17" t="s">
        <v>1336</v>
      </c>
      <c r="D850" s="17" t="s">
        <v>1154</v>
      </c>
      <c r="E850" s="17" t="s">
        <v>1293</v>
      </c>
      <c r="F850" s="17"/>
      <c r="G850" s="19">
        <f>G851+G867</f>
        <v>256864.3</v>
      </c>
    </row>
    <row r="851" spans="1:7" ht="27.75" customHeight="1">
      <c r="A851" s="18" t="s">
        <v>154</v>
      </c>
      <c r="B851" s="53" t="s">
        <v>1180</v>
      </c>
      <c r="C851" s="17" t="s">
        <v>1336</v>
      </c>
      <c r="D851" s="17" t="s">
        <v>1154</v>
      </c>
      <c r="E851" s="17" t="s">
        <v>898</v>
      </c>
      <c r="F851" s="17" t="s">
        <v>1204</v>
      </c>
      <c r="G851" s="19">
        <f>G852+G854+G866</f>
        <v>246864.3</v>
      </c>
    </row>
    <row r="852" spans="1:7" ht="19.5" customHeight="1">
      <c r="A852" s="158" t="s">
        <v>1189</v>
      </c>
      <c r="B852" s="53" t="s">
        <v>1180</v>
      </c>
      <c r="C852" s="17" t="s">
        <v>1336</v>
      </c>
      <c r="D852" s="17" t="s">
        <v>1154</v>
      </c>
      <c r="E852" s="26" t="s">
        <v>156</v>
      </c>
      <c r="F852" s="17" t="s">
        <v>1190</v>
      </c>
      <c r="G852" s="19">
        <f>G853</f>
        <v>37376</v>
      </c>
    </row>
    <row r="853" spans="1:7" ht="28.5" customHeight="1">
      <c r="A853" s="36" t="s">
        <v>155</v>
      </c>
      <c r="B853" s="53" t="s">
        <v>1180</v>
      </c>
      <c r="C853" s="17" t="s">
        <v>1336</v>
      </c>
      <c r="D853" s="17" t="s">
        <v>1154</v>
      </c>
      <c r="E853" s="26" t="s">
        <v>156</v>
      </c>
      <c r="F853" s="17" t="s">
        <v>467</v>
      </c>
      <c r="G853" s="20">
        <f>37376</f>
        <v>37376</v>
      </c>
    </row>
    <row r="854" spans="1:7" ht="35.25" customHeight="1">
      <c r="A854" s="36" t="s">
        <v>270</v>
      </c>
      <c r="B854" s="53" t="s">
        <v>1180</v>
      </c>
      <c r="C854" s="17" t="s">
        <v>1336</v>
      </c>
      <c r="D854" s="17" t="s">
        <v>1154</v>
      </c>
      <c r="E854" s="26" t="s">
        <v>407</v>
      </c>
      <c r="F854" s="17" t="s">
        <v>312</v>
      </c>
      <c r="G854" s="19">
        <f>G855</f>
        <v>205975.4</v>
      </c>
    </row>
    <row r="855" spans="1:7" ht="42" customHeight="1">
      <c r="A855" s="36" t="s">
        <v>1005</v>
      </c>
      <c r="B855" s="53" t="s">
        <v>1180</v>
      </c>
      <c r="C855" s="17" t="s">
        <v>1336</v>
      </c>
      <c r="D855" s="17" t="s">
        <v>1154</v>
      </c>
      <c r="E855" s="26" t="s">
        <v>407</v>
      </c>
      <c r="F855" s="17" t="s">
        <v>1174</v>
      </c>
      <c r="G855" s="19">
        <f>G856+G857+G859+G860+G861+G862+G863+G864+G865+G858</f>
        <v>205975.4</v>
      </c>
    </row>
    <row r="856" spans="1:7" ht="24.75" customHeight="1">
      <c r="A856" s="36" t="s">
        <v>533</v>
      </c>
      <c r="B856" s="53" t="s">
        <v>1180</v>
      </c>
      <c r="C856" s="17" t="s">
        <v>1336</v>
      </c>
      <c r="D856" s="17" t="s">
        <v>1154</v>
      </c>
      <c r="E856" s="26" t="s">
        <v>407</v>
      </c>
      <c r="F856" s="17" t="s">
        <v>1174</v>
      </c>
      <c r="G856" s="20">
        <v>100000</v>
      </c>
    </row>
    <row r="857" spans="1:7" ht="26.25" customHeight="1">
      <c r="A857" s="36" t="s">
        <v>534</v>
      </c>
      <c r="B857" s="53" t="s">
        <v>1180</v>
      </c>
      <c r="C857" s="17" t="s">
        <v>1336</v>
      </c>
      <c r="D857" s="17" t="s">
        <v>1154</v>
      </c>
      <c r="E857" s="26" t="s">
        <v>407</v>
      </c>
      <c r="F857" s="17" t="s">
        <v>1174</v>
      </c>
      <c r="G857" s="20">
        <v>0</v>
      </c>
    </row>
    <row r="858" spans="1:7" ht="26.25" customHeight="1">
      <c r="A858" s="295" t="s">
        <v>914</v>
      </c>
      <c r="B858" s="53" t="s">
        <v>1180</v>
      </c>
      <c r="C858" s="17" t="s">
        <v>1336</v>
      </c>
      <c r="D858" s="17" t="s">
        <v>1154</v>
      </c>
      <c r="E858" s="26" t="s">
        <v>407</v>
      </c>
      <c r="F858" s="17" t="s">
        <v>1174</v>
      </c>
      <c r="G858" s="20">
        <v>0</v>
      </c>
    </row>
    <row r="859" spans="1:7" ht="28.5" customHeight="1">
      <c r="A859" s="36" t="s">
        <v>535</v>
      </c>
      <c r="B859" s="53" t="s">
        <v>1180</v>
      </c>
      <c r="C859" s="17" t="s">
        <v>1336</v>
      </c>
      <c r="D859" s="17" t="s">
        <v>1154</v>
      </c>
      <c r="E859" s="26" t="s">
        <v>407</v>
      </c>
      <c r="F859" s="17" t="s">
        <v>1174</v>
      </c>
      <c r="G859" s="20">
        <v>34154</v>
      </c>
    </row>
    <row r="860" spans="1:7" ht="28.5" customHeight="1">
      <c r="A860" s="36" t="s">
        <v>577</v>
      </c>
      <c r="B860" s="53" t="s">
        <v>1180</v>
      </c>
      <c r="C860" s="17" t="s">
        <v>1336</v>
      </c>
      <c r="D860" s="17" t="s">
        <v>1154</v>
      </c>
      <c r="E860" s="26" t="s">
        <v>407</v>
      </c>
      <c r="F860" s="17" t="s">
        <v>1174</v>
      </c>
      <c r="G860" s="20">
        <v>1717.9</v>
      </c>
    </row>
    <row r="861" spans="1:7" ht="19.5" customHeight="1">
      <c r="A861" s="36" t="s">
        <v>173</v>
      </c>
      <c r="B861" s="53" t="s">
        <v>1180</v>
      </c>
      <c r="C861" s="17" t="s">
        <v>1336</v>
      </c>
      <c r="D861" s="17" t="s">
        <v>1154</v>
      </c>
      <c r="E861" s="26" t="s">
        <v>407</v>
      </c>
      <c r="F861" s="17" t="s">
        <v>1174</v>
      </c>
      <c r="G861" s="20">
        <v>5000</v>
      </c>
    </row>
    <row r="862" spans="1:7" ht="27.75" customHeight="1">
      <c r="A862" s="36" t="s">
        <v>167</v>
      </c>
      <c r="B862" s="53" t="s">
        <v>1180</v>
      </c>
      <c r="C862" s="17" t="s">
        <v>1336</v>
      </c>
      <c r="D862" s="17" t="s">
        <v>1154</v>
      </c>
      <c r="E862" s="26" t="s">
        <v>407</v>
      </c>
      <c r="F862" s="17" t="s">
        <v>1174</v>
      </c>
      <c r="G862" s="20">
        <v>4173.7</v>
      </c>
    </row>
    <row r="863" spans="1:7" ht="30" customHeight="1">
      <c r="A863" s="36" t="s">
        <v>587</v>
      </c>
      <c r="B863" s="53" t="s">
        <v>1180</v>
      </c>
      <c r="C863" s="17" t="s">
        <v>1336</v>
      </c>
      <c r="D863" s="17" t="s">
        <v>1154</v>
      </c>
      <c r="E863" s="26" t="s">
        <v>407</v>
      </c>
      <c r="F863" s="17" t="s">
        <v>1174</v>
      </c>
      <c r="G863" s="20">
        <v>929.8</v>
      </c>
    </row>
    <row r="864" spans="1:7" ht="30" customHeight="1">
      <c r="A864" s="36" t="s">
        <v>216</v>
      </c>
      <c r="B864" s="53" t="s">
        <v>1180</v>
      </c>
      <c r="C864" s="17" t="s">
        <v>1336</v>
      </c>
      <c r="D864" s="17" t="s">
        <v>1154</v>
      </c>
      <c r="E864" s="26" t="s">
        <v>407</v>
      </c>
      <c r="F864" s="17" t="s">
        <v>1174</v>
      </c>
      <c r="G864" s="20">
        <v>35000</v>
      </c>
    </row>
    <row r="865" spans="1:7" ht="30" customHeight="1">
      <c r="A865" s="36" t="s">
        <v>992</v>
      </c>
      <c r="B865" s="53" t="s">
        <v>1180</v>
      </c>
      <c r="C865" s="17" t="s">
        <v>1336</v>
      </c>
      <c r="D865" s="17" t="s">
        <v>1154</v>
      </c>
      <c r="E865" s="26" t="s">
        <v>407</v>
      </c>
      <c r="F865" s="17" t="s">
        <v>1174</v>
      </c>
      <c r="G865" s="20">
        <v>25000</v>
      </c>
    </row>
    <row r="866" spans="1:7" ht="30" customHeight="1">
      <c r="A866" s="36" t="s">
        <v>1371</v>
      </c>
      <c r="B866" s="53" t="s">
        <v>1180</v>
      </c>
      <c r="C866" s="17" t="s">
        <v>1336</v>
      </c>
      <c r="D866" s="17" t="s">
        <v>1154</v>
      </c>
      <c r="E866" s="26" t="s">
        <v>1370</v>
      </c>
      <c r="F866" s="17" t="s">
        <v>1333</v>
      </c>
      <c r="G866" s="20">
        <v>3512.9</v>
      </c>
    </row>
    <row r="867" spans="1:7" ht="30" customHeight="1">
      <c r="A867" s="36" t="s">
        <v>1135</v>
      </c>
      <c r="B867" s="53" t="s">
        <v>1180</v>
      </c>
      <c r="C867" s="17" t="s">
        <v>1336</v>
      </c>
      <c r="D867" s="17" t="s">
        <v>1154</v>
      </c>
      <c r="E867" s="26" t="s">
        <v>536</v>
      </c>
      <c r="F867" s="17" t="s">
        <v>1204</v>
      </c>
      <c r="G867" s="19">
        <f>G868</f>
        <v>10000</v>
      </c>
    </row>
    <row r="868" spans="1:7" ht="30" customHeight="1">
      <c r="A868" s="158" t="s">
        <v>486</v>
      </c>
      <c r="B868" s="53" t="s">
        <v>1180</v>
      </c>
      <c r="C868" s="17" t="s">
        <v>1336</v>
      </c>
      <c r="D868" s="17" t="s">
        <v>1154</v>
      </c>
      <c r="E868" s="26" t="s">
        <v>536</v>
      </c>
      <c r="F868" s="17" t="s">
        <v>402</v>
      </c>
      <c r="G868" s="19">
        <f>G869</f>
        <v>10000</v>
      </c>
    </row>
    <row r="869" spans="1:7" ht="30" customHeight="1">
      <c r="A869" s="158" t="s">
        <v>827</v>
      </c>
      <c r="B869" s="53" t="s">
        <v>1180</v>
      </c>
      <c r="C869" s="17" t="s">
        <v>1336</v>
      </c>
      <c r="D869" s="17" t="s">
        <v>1154</v>
      </c>
      <c r="E869" s="26" t="s">
        <v>536</v>
      </c>
      <c r="F869" s="17" t="s">
        <v>1333</v>
      </c>
      <c r="G869" s="20">
        <v>10000</v>
      </c>
    </row>
    <row r="870" spans="1:7" ht="18" customHeight="1">
      <c r="A870" s="78" t="s">
        <v>304</v>
      </c>
      <c r="B870" s="53" t="s">
        <v>1180</v>
      </c>
      <c r="C870" s="17" t="s">
        <v>1336</v>
      </c>
      <c r="D870" s="17" t="s">
        <v>1340</v>
      </c>
      <c r="E870" s="26"/>
      <c r="F870" s="17"/>
      <c r="G870" s="19">
        <f>G871+G917</f>
        <v>208264.1</v>
      </c>
    </row>
    <row r="871" spans="1:7" ht="21" customHeight="1">
      <c r="A871" s="33" t="s">
        <v>291</v>
      </c>
      <c r="B871" s="53" t="s">
        <v>1180</v>
      </c>
      <c r="C871" s="17" t="s">
        <v>1336</v>
      </c>
      <c r="D871" s="17" t="s">
        <v>1340</v>
      </c>
      <c r="E871" s="17" t="s">
        <v>1293</v>
      </c>
      <c r="F871" s="17"/>
      <c r="G871" s="19">
        <f>G872+G877+G890+G896+G900</f>
        <v>204714.1</v>
      </c>
    </row>
    <row r="872" spans="1:7" ht="36.75" customHeight="1">
      <c r="A872" s="64" t="s">
        <v>400</v>
      </c>
      <c r="B872" s="53" t="s">
        <v>1180</v>
      </c>
      <c r="C872" s="17" t="s">
        <v>1336</v>
      </c>
      <c r="D872" s="17" t="s">
        <v>1340</v>
      </c>
      <c r="E872" s="17" t="s">
        <v>151</v>
      </c>
      <c r="F872" s="17"/>
      <c r="G872" s="19">
        <f>G873</f>
        <v>2802.5</v>
      </c>
    </row>
    <row r="873" spans="1:7" ht="24">
      <c r="A873" s="29" t="s">
        <v>1418</v>
      </c>
      <c r="B873" s="53" t="s">
        <v>1180</v>
      </c>
      <c r="C873" s="17" t="s">
        <v>1336</v>
      </c>
      <c r="D873" s="17" t="s">
        <v>1340</v>
      </c>
      <c r="E873" s="17" t="s">
        <v>162</v>
      </c>
      <c r="F873" s="17" t="s">
        <v>1204</v>
      </c>
      <c r="G873" s="19">
        <f>G874</f>
        <v>2802.5</v>
      </c>
    </row>
    <row r="874" spans="1:7" ht="24">
      <c r="A874" s="158" t="s">
        <v>486</v>
      </c>
      <c r="B874" s="53" t="s">
        <v>1180</v>
      </c>
      <c r="C874" s="17" t="s">
        <v>1336</v>
      </c>
      <c r="D874" s="17" t="s">
        <v>1340</v>
      </c>
      <c r="E874" s="17" t="s">
        <v>162</v>
      </c>
      <c r="F874" s="17" t="s">
        <v>402</v>
      </c>
      <c r="G874" s="19">
        <f>G875</f>
        <v>2802.5</v>
      </c>
    </row>
    <row r="875" spans="1:7" ht="24">
      <c r="A875" s="158" t="s">
        <v>471</v>
      </c>
      <c r="B875" s="53" t="s">
        <v>1180</v>
      </c>
      <c r="C875" s="17" t="s">
        <v>1336</v>
      </c>
      <c r="D875" s="17" t="s">
        <v>1340</v>
      </c>
      <c r="E875" s="17" t="s">
        <v>162</v>
      </c>
      <c r="F875" s="17" t="s">
        <v>1333</v>
      </c>
      <c r="G875" s="20">
        <f>2000+1231.1-428.6</f>
        <v>2802.5</v>
      </c>
    </row>
    <row r="876" spans="1:7" ht="18.75" customHeight="1" hidden="1">
      <c r="A876" s="158" t="s">
        <v>233</v>
      </c>
      <c r="B876" s="53" t="s">
        <v>1180</v>
      </c>
      <c r="C876" s="17" t="s">
        <v>1336</v>
      </c>
      <c r="D876" s="17" t="s">
        <v>1340</v>
      </c>
      <c r="E876" s="17" t="s">
        <v>162</v>
      </c>
      <c r="F876" s="17" t="s">
        <v>234</v>
      </c>
      <c r="G876" s="20">
        <v>2000</v>
      </c>
    </row>
    <row r="877" spans="1:7" ht="30" customHeight="1">
      <c r="A877" s="36" t="s">
        <v>1292</v>
      </c>
      <c r="B877" s="53" t="s">
        <v>1180</v>
      </c>
      <c r="C877" s="17" t="s">
        <v>1336</v>
      </c>
      <c r="D877" s="17" t="s">
        <v>1340</v>
      </c>
      <c r="E877" s="17" t="s">
        <v>1294</v>
      </c>
      <c r="F877" s="17"/>
      <c r="G877" s="19">
        <f>G878</f>
        <v>103952.7</v>
      </c>
    </row>
    <row r="878" spans="1:7" ht="18.75" customHeight="1">
      <c r="A878" s="18" t="s">
        <v>305</v>
      </c>
      <c r="B878" s="53" t="s">
        <v>1180</v>
      </c>
      <c r="C878" s="17" t="s">
        <v>1336</v>
      </c>
      <c r="D878" s="17" t="s">
        <v>1340</v>
      </c>
      <c r="E878" s="17" t="s">
        <v>157</v>
      </c>
      <c r="F878" s="17" t="s">
        <v>1204</v>
      </c>
      <c r="G878" s="19">
        <f>G879+G881</f>
        <v>103952.7</v>
      </c>
    </row>
    <row r="879" spans="1:7" ht="18.75" customHeight="1">
      <c r="A879" s="158" t="s">
        <v>486</v>
      </c>
      <c r="B879" s="53" t="s">
        <v>1180</v>
      </c>
      <c r="C879" s="17" t="s">
        <v>1336</v>
      </c>
      <c r="D879" s="17" t="s">
        <v>1340</v>
      </c>
      <c r="E879" s="17" t="s">
        <v>157</v>
      </c>
      <c r="F879" s="17" t="s">
        <v>402</v>
      </c>
      <c r="G879" s="19">
        <f>G880</f>
        <v>85000</v>
      </c>
    </row>
    <row r="880" spans="1:7" ht="18.75" customHeight="1">
      <c r="A880" s="158" t="s">
        <v>471</v>
      </c>
      <c r="B880" s="53" t="s">
        <v>1180</v>
      </c>
      <c r="C880" s="17" t="s">
        <v>1336</v>
      </c>
      <c r="D880" s="17" t="s">
        <v>1340</v>
      </c>
      <c r="E880" s="17" t="s">
        <v>157</v>
      </c>
      <c r="F880" s="17" t="s">
        <v>1333</v>
      </c>
      <c r="G880" s="20">
        <v>85000</v>
      </c>
    </row>
    <row r="881" spans="1:7" ht="24">
      <c r="A881" s="36" t="s">
        <v>270</v>
      </c>
      <c r="B881" s="53" t="s">
        <v>1180</v>
      </c>
      <c r="C881" s="17" t="s">
        <v>1336</v>
      </c>
      <c r="D881" s="17" t="s">
        <v>1340</v>
      </c>
      <c r="E881" s="17" t="s">
        <v>157</v>
      </c>
      <c r="F881" s="17" t="s">
        <v>312</v>
      </c>
      <c r="G881" s="19">
        <f>G882</f>
        <v>18952.7</v>
      </c>
    </row>
    <row r="882" spans="1:7" ht="36">
      <c r="A882" s="36" t="s">
        <v>1005</v>
      </c>
      <c r="B882" s="53" t="s">
        <v>1180</v>
      </c>
      <c r="C882" s="17" t="s">
        <v>1336</v>
      </c>
      <c r="D882" s="17" t="s">
        <v>1340</v>
      </c>
      <c r="E882" s="17" t="s">
        <v>157</v>
      </c>
      <c r="F882" s="17" t="s">
        <v>1174</v>
      </c>
      <c r="G882" s="19">
        <f>G883+G884+G885+G886+G887+G888+G889</f>
        <v>18952.7</v>
      </c>
    </row>
    <row r="883" spans="1:7" ht="36">
      <c r="A883" s="36" t="s">
        <v>424</v>
      </c>
      <c r="B883" s="53" t="s">
        <v>1180</v>
      </c>
      <c r="C883" s="17" t="s">
        <v>1336</v>
      </c>
      <c r="D883" s="17" t="s">
        <v>1340</v>
      </c>
      <c r="E883" s="17" t="s">
        <v>157</v>
      </c>
      <c r="F883" s="17" t="s">
        <v>1174</v>
      </c>
      <c r="G883" s="20">
        <f>10519.6-0.1</f>
        <v>10519.5</v>
      </c>
    </row>
    <row r="884" spans="1:7" ht="24">
      <c r="A884" s="36" t="s">
        <v>425</v>
      </c>
      <c r="B884" s="53" t="s">
        <v>1180</v>
      </c>
      <c r="C884" s="17" t="s">
        <v>1336</v>
      </c>
      <c r="D884" s="17" t="s">
        <v>1340</v>
      </c>
      <c r="E884" s="17" t="s">
        <v>157</v>
      </c>
      <c r="F884" s="17" t="s">
        <v>1174</v>
      </c>
      <c r="G884" s="20">
        <v>238.1</v>
      </c>
    </row>
    <row r="885" spans="1:7" ht="36">
      <c r="A885" s="36" t="s">
        <v>566</v>
      </c>
      <c r="B885" s="53" t="s">
        <v>1180</v>
      </c>
      <c r="C885" s="17" t="s">
        <v>1336</v>
      </c>
      <c r="D885" s="17" t="s">
        <v>1340</v>
      </c>
      <c r="E885" s="17" t="s">
        <v>157</v>
      </c>
      <c r="F885" s="17" t="s">
        <v>1174</v>
      </c>
      <c r="G885" s="20">
        <v>205.1</v>
      </c>
    </row>
    <row r="886" spans="1:7" ht="42" customHeight="1">
      <c r="A886" s="158" t="s">
        <v>642</v>
      </c>
      <c r="B886" s="53" t="s">
        <v>1180</v>
      </c>
      <c r="C886" s="17" t="s">
        <v>1336</v>
      </c>
      <c r="D886" s="17" t="s">
        <v>1340</v>
      </c>
      <c r="E886" s="17" t="s">
        <v>157</v>
      </c>
      <c r="F886" s="17" t="s">
        <v>1174</v>
      </c>
      <c r="G886" s="20">
        <v>294.4</v>
      </c>
    </row>
    <row r="887" spans="1:7" ht="24">
      <c r="A887" s="158" t="s">
        <v>295</v>
      </c>
      <c r="B887" s="53" t="s">
        <v>1180</v>
      </c>
      <c r="C887" s="17" t="s">
        <v>1336</v>
      </c>
      <c r="D887" s="17" t="s">
        <v>1340</v>
      </c>
      <c r="E887" s="17" t="s">
        <v>157</v>
      </c>
      <c r="F887" s="17" t="s">
        <v>1174</v>
      </c>
      <c r="G887" s="20">
        <v>1901</v>
      </c>
    </row>
    <row r="888" spans="1:10" ht="24.75" customHeight="1">
      <c r="A888" s="158" t="s">
        <v>888</v>
      </c>
      <c r="B888" s="53" t="s">
        <v>1180</v>
      </c>
      <c r="C888" s="17" t="s">
        <v>1336</v>
      </c>
      <c r="D888" s="17" t="s">
        <v>1340</v>
      </c>
      <c r="E888" s="17" t="s">
        <v>157</v>
      </c>
      <c r="F888" s="17" t="s">
        <v>1174</v>
      </c>
      <c r="G888" s="20">
        <f>3392.5+2402.1-0.1+0.1</f>
        <v>5794.6</v>
      </c>
      <c r="J888" s="291"/>
    </row>
    <row r="889" spans="1:10" ht="24" hidden="1">
      <c r="A889" s="36" t="s">
        <v>590</v>
      </c>
      <c r="B889" s="53" t="s">
        <v>1180</v>
      </c>
      <c r="C889" s="17" t="s">
        <v>1336</v>
      </c>
      <c r="D889" s="17" t="s">
        <v>1340</v>
      </c>
      <c r="E889" s="17" t="s">
        <v>157</v>
      </c>
      <c r="F889" s="17" t="s">
        <v>1174</v>
      </c>
      <c r="G889" s="20">
        <v>0</v>
      </c>
      <c r="J889" s="291"/>
    </row>
    <row r="890" spans="1:7" ht="33.75" customHeight="1">
      <c r="A890" s="36" t="s">
        <v>754</v>
      </c>
      <c r="B890" s="53" t="s">
        <v>1180</v>
      </c>
      <c r="C890" s="17" t="s">
        <v>1336</v>
      </c>
      <c r="D890" s="17" t="s">
        <v>1340</v>
      </c>
      <c r="E890" s="17" t="s">
        <v>158</v>
      </c>
      <c r="F890" s="17" t="s">
        <v>1204</v>
      </c>
      <c r="G890" s="19">
        <f>G893+G891</f>
        <v>11306.800000000001</v>
      </c>
    </row>
    <row r="891" spans="1:7" ht="23.25" customHeight="1">
      <c r="A891" s="158" t="s">
        <v>486</v>
      </c>
      <c r="B891" s="53" t="s">
        <v>1180</v>
      </c>
      <c r="C891" s="17" t="s">
        <v>1336</v>
      </c>
      <c r="D891" s="17" t="s">
        <v>1340</v>
      </c>
      <c r="E891" s="17" t="s">
        <v>158</v>
      </c>
      <c r="F891" s="17" t="s">
        <v>402</v>
      </c>
      <c r="G891" s="19">
        <f>G892</f>
        <v>1285.9</v>
      </c>
    </row>
    <row r="892" spans="1:7" ht="22.5" customHeight="1">
      <c r="A892" s="158" t="s">
        <v>471</v>
      </c>
      <c r="B892" s="53" t="s">
        <v>1180</v>
      </c>
      <c r="C892" s="17" t="s">
        <v>1336</v>
      </c>
      <c r="D892" s="17" t="s">
        <v>1340</v>
      </c>
      <c r="E892" s="17" t="s">
        <v>158</v>
      </c>
      <c r="F892" s="17" t="s">
        <v>1333</v>
      </c>
      <c r="G892" s="20">
        <f>631.6+654.3</f>
        <v>1285.9</v>
      </c>
    </row>
    <row r="893" spans="1:7" ht="28.5" customHeight="1">
      <c r="A893" s="36" t="s">
        <v>459</v>
      </c>
      <c r="B893" s="53" t="s">
        <v>1180</v>
      </c>
      <c r="C893" s="17" t="s">
        <v>1336</v>
      </c>
      <c r="D893" s="17" t="s">
        <v>1340</v>
      </c>
      <c r="E893" s="17" t="s">
        <v>158</v>
      </c>
      <c r="F893" s="17" t="s">
        <v>641</v>
      </c>
      <c r="G893" s="19">
        <f>G894</f>
        <v>10020.900000000001</v>
      </c>
    </row>
    <row r="894" spans="1:7" ht="17.25" customHeight="1">
      <c r="A894" s="18" t="s">
        <v>418</v>
      </c>
      <c r="B894" s="53" t="s">
        <v>1180</v>
      </c>
      <c r="C894" s="17" t="s">
        <v>1336</v>
      </c>
      <c r="D894" s="17" t="s">
        <v>1340</v>
      </c>
      <c r="E894" s="17" t="s">
        <v>158</v>
      </c>
      <c r="F894" s="17" t="s">
        <v>419</v>
      </c>
      <c r="G894" s="20">
        <f>13240+1013.2-3900-332.3</f>
        <v>10020.900000000001</v>
      </c>
    </row>
    <row r="895" spans="1:7" ht="22.5" customHeight="1" hidden="1">
      <c r="A895" s="18" t="s">
        <v>417</v>
      </c>
      <c r="B895" s="53" t="s">
        <v>1180</v>
      </c>
      <c r="C895" s="17" t="s">
        <v>1336</v>
      </c>
      <c r="D895" s="17" t="s">
        <v>1340</v>
      </c>
      <c r="E895" s="17" t="s">
        <v>158</v>
      </c>
      <c r="F895" s="17" t="s">
        <v>420</v>
      </c>
      <c r="G895" s="20">
        <f>10178+3062</f>
        <v>13240</v>
      </c>
    </row>
    <row r="896" spans="1:7" ht="24">
      <c r="A896" s="36" t="s">
        <v>1411</v>
      </c>
      <c r="B896" s="53" t="s">
        <v>1180</v>
      </c>
      <c r="C896" s="17" t="s">
        <v>1336</v>
      </c>
      <c r="D896" s="17" t="s">
        <v>1340</v>
      </c>
      <c r="E896" s="17" t="s">
        <v>159</v>
      </c>
      <c r="F896" s="17" t="s">
        <v>1204</v>
      </c>
      <c r="G896" s="19">
        <f>G897</f>
        <v>15017.5</v>
      </c>
    </row>
    <row r="897" spans="1:7" ht="24">
      <c r="A897" s="36" t="s">
        <v>459</v>
      </c>
      <c r="B897" s="53" t="s">
        <v>1180</v>
      </c>
      <c r="C897" s="17" t="s">
        <v>1336</v>
      </c>
      <c r="D897" s="17" t="s">
        <v>1340</v>
      </c>
      <c r="E897" s="17" t="s">
        <v>159</v>
      </c>
      <c r="F897" s="17" t="s">
        <v>641</v>
      </c>
      <c r="G897" s="19">
        <f>G898</f>
        <v>15017.5</v>
      </c>
    </row>
    <row r="898" spans="1:7" ht="24">
      <c r="A898" s="18" t="s">
        <v>390</v>
      </c>
      <c r="B898" s="53" t="s">
        <v>1180</v>
      </c>
      <c r="C898" s="17" t="s">
        <v>1336</v>
      </c>
      <c r="D898" s="17" t="s">
        <v>1340</v>
      </c>
      <c r="E898" s="17" t="s">
        <v>159</v>
      </c>
      <c r="F898" s="17" t="s">
        <v>419</v>
      </c>
      <c r="G898" s="20">
        <f>15000+G899</f>
        <v>15017.5</v>
      </c>
    </row>
    <row r="899" spans="1:7" ht="156">
      <c r="A899" s="18" t="s">
        <v>663</v>
      </c>
      <c r="B899" s="53" t="s">
        <v>1180</v>
      </c>
      <c r="C899" s="17" t="s">
        <v>1336</v>
      </c>
      <c r="D899" s="17" t="s">
        <v>1340</v>
      </c>
      <c r="E899" s="17" t="s">
        <v>159</v>
      </c>
      <c r="F899" s="17" t="s">
        <v>419</v>
      </c>
      <c r="G899" s="20">
        <v>17.5</v>
      </c>
    </row>
    <row r="900" spans="1:7" ht="24">
      <c r="A900" s="18" t="s">
        <v>160</v>
      </c>
      <c r="B900" s="53" t="s">
        <v>1180</v>
      </c>
      <c r="C900" s="17" t="s">
        <v>1336</v>
      </c>
      <c r="D900" s="17" t="s">
        <v>1340</v>
      </c>
      <c r="E900" s="17" t="s">
        <v>161</v>
      </c>
      <c r="F900" s="17" t="s">
        <v>1204</v>
      </c>
      <c r="G900" s="19">
        <f>G903+G901</f>
        <v>71634.6</v>
      </c>
    </row>
    <row r="901" spans="1:7" ht="24">
      <c r="A901" s="158" t="s">
        <v>486</v>
      </c>
      <c r="B901" s="53" t="s">
        <v>1180</v>
      </c>
      <c r="C901" s="17" t="s">
        <v>1336</v>
      </c>
      <c r="D901" s="17" t="s">
        <v>1340</v>
      </c>
      <c r="E901" s="17" t="s">
        <v>161</v>
      </c>
      <c r="F901" s="17" t="s">
        <v>402</v>
      </c>
      <c r="G901" s="19">
        <f>G902</f>
        <v>19826.3</v>
      </c>
    </row>
    <row r="902" spans="1:7" ht="24">
      <c r="A902" s="158" t="s">
        <v>471</v>
      </c>
      <c r="B902" s="53" t="s">
        <v>1180</v>
      </c>
      <c r="C902" s="17" t="s">
        <v>1336</v>
      </c>
      <c r="D902" s="17" t="s">
        <v>1340</v>
      </c>
      <c r="E902" s="17" t="s">
        <v>161</v>
      </c>
      <c r="F902" s="17" t="s">
        <v>1333</v>
      </c>
      <c r="G902" s="20">
        <f>19029.6-6084.5+4106.4+300+300+1942.3+232.5</f>
        <v>19826.3</v>
      </c>
    </row>
    <row r="903" spans="1:7" ht="24">
      <c r="A903" s="36" t="s">
        <v>459</v>
      </c>
      <c r="B903" s="53" t="s">
        <v>1180</v>
      </c>
      <c r="C903" s="17" t="s">
        <v>1336</v>
      </c>
      <c r="D903" s="17" t="s">
        <v>1340</v>
      </c>
      <c r="E903" s="17" t="s">
        <v>161</v>
      </c>
      <c r="F903" s="17" t="s">
        <v>641</v>
      </c>
      <c r="G903" s="19">
        <f>G904</f>
        <v>51808.30000000001</v>
      </c>
    </row>
    <row r="904" spans="1:7" ht="19.5" customHeight="1">
      <c r="A904" s="18" t="s">
        <v>460</v>
      </c>
      <c r="B904" s="53" t="s">
        <v>1180</v>
      </c>
      <c r="C904" s="17" t="s">
        <v>1336</v>
      </c>
      <c r="D904" s="17" t="s">
        <v>1340</v>
      </c>
      <c r="E904" s="17" t="s">
        <v>161</v>
      </c>
      <c r="F904" s="17" t="s">
        <v>419</v>
      </c>
      <c r="G904" s="20">
        <f>31580+1500+97.6+542.5+80+55+456+474.5+365.8+567.8+4335+160+71+214.8+251-365.8-567.8+6708.8+47-0.1+35+290.8+290+1287+1400+1000+27.5+161+90.2+332.3+321.4</f>
        <v>51808.30000000001</v>
      </c>
    </row>
    <row r="905" spans="1:7" ht="24.75" customHeight="1">
      <c r="A905" s="18" t="s">
        <v>1372</v>
      </c>
      <c r="B905" s="53" t="s">
        <v>1180</v>
      </c>
      <c r="C905" s="17" t="s">
        <v>1336</v>
      </c>
      <c r="D905" s="17" t="s">
        <v>1340</v>
      </c>
      <c r="E905" s="17" t="s">
        <v>161</v>
      </c>
      <c r="F905" s="17" t="s">
        <v>419</v>
      </c>
      <c r="G905" s="80">
        <v>97.6</v>
      </c>
    </row>
    <row r="906" spans="1:7" ht="24.75" customHeight="1">
      <c r="A906" s="18" t="s">
        <v>1214</v>
      </c>
      <c r="B906" s="53" t="s">
        <v>1180</v>
      </c>
      <c r="C906" s="17" t="s">
        <v>1336</v>
      </c>
      <c r="D906" s="17" t="s">
        <v>1340</v>
      </c>
      <c r="E906" s="17" t="s">
        <v>161</v>
      </c>
      <c r="F906" s="17" t="s">
        <v>419</v>
      </c>
      <c r="G906" s="80">
        <f>542.5+47+290</f>
        <v>879.5</v>
      </c>
    </row>
    <row r="907" spans="1:7" ht="24.75" customHeight="1" hidden="1">
      <c r="A907" s="18" t="s">
        <v>383</v>
      </c>
      <c r="B907" s="53" t="s">
        <v>1180</v>
      </c>
      <c r="C907" s="17" t="s">
        <v>1336</v>
      </c>
      <c r="D907" s="17" t="s">
        <v>1340</v>
      </c>
      <c r="E907" s="17" t="s">
        <v>161</v>
      </c>
      <c r="F907" s="17" t="s">
        <v>419</v>
      </c>
      <c r="G907" s="80">
        <v>1287</v>
      </c>
    </row>
    <row r="908" spans="1:7" ht="32.25" customHeight="1">
      <c r="A908" s="18" t="s">
        <v>1187</v>
      </c>
      <c r="B908" s="53" t="s">
        <v>1180</v>
      </c>
      <c r="C908" s="17" t="s">
        <v>1336</v>
      </c>
      <c r="D908" s="17" t="s">
        <v>1340</v>
      </c>
      <c r="E908" s="17" t="s">
        <v>161</v>
      </c>
      <c r="F908" s="17" t="s">
        <v>419</v>
      </c>
      <c r="G908" s="80">
        <v>80</v>
      </c>
    </row>
    <row r="909" spans="1:7" ht="25.5" customHeight="1">
      <c r="A909" s="18" t="s">
        <v>773</v>
      </c>
      <c r="B909" s="53" t="s">
        <v>1180</v>
      </c>
      <c r="C909" s="17" t="s">
        <v>1336</v>
      </c>
      <c r="D909" s="17" t="s">
        <v>1340</v>
      </c>
      <c r="E909" s="17" t="s">
        <v>161</v>
      </c>
      <c r="F909" s="17" t="s">
        <v>419</v>
      </c>
      <c r="G909" s="80">
        <v>4335</v>
      </c>
    </row>
    <row r="910" spans="1:7" ht="24.75" customHeight="1">
      <c r="A910" s="18" t="s">
        <v>1234</v>
      </c>
      <c r="B910" s="53" t="s">
        <v>1180</v>
      </c>
      <c r="C910" s="17" t="s">
        <v>1336</v>
      </c>
      <c r="D910" s="17" t="s">
        <v>1340</v>
      </c>
      <c r="E910" s="17" t="s">
        <v>161</v>
      </c>
      <c r="F910" s="17" t="s">
        <v>419</v>
      </c>
      <c r="G910" s="80">
        <v>160</v>
      </c>
    </row>
    <row r="911" spans="1:7" ht="38.25" customHeight="1">
      <c r="A911" s="18" t="s">
        <v>722</v>
      </c>
      <c r="B911" s="53" t="s">
        <v>1180</v>
      </c>
      <c r="C911" s="17" t="s">
        <v>1336</v>
      </c>
      <c r="D911" s="17" t="s">
        <v>1340</v>
      </c>
      <c r="E911" s="17" t="s">
        <v>161</v>
      </c>
      <c r="F911" s="17" t="s">
        <v>419</v>
      </c>
      <c r="G911" s="80">
        <v>6708.8</v>
      </c>
    </row>
    <row r="912" spans="1:7" ht="54.75" customHeight="1">
      <c r="A912" s="18" t="s">
        <v>113</v>
      </c>
      <c r="B912" s="53" t="s">
        <v>1180</v>
      </c>
      <c r="C912" s="17" t="s">
        <v>1336</v>
      </c>
      <c r="D912" s="17" t="s">
        <v>1340</v>
      </c>
      <c r="E912" s="17" t="s">
        <v>161</v>
      </c>
      <c r="F912" s="17" t="s">
        <v>419</v>
      </c>
      <c r="G912" s="80">
        <v>35</v>
      </c>
    </row>
    <row r="913" spans="1:7" ht="24.75" customHeight="1">
      <c r="A913" s="18" t="s">
        <v>1052</v>
      </c>
      <c r="B913" s="53" t="s">
        <v>1180</v>
      </c>
      <c r="C913" s="17" t="s">
        <v>1336</v>
      </c>
      <c r="D913" s="17" t="s">
        <v>1340</v>
      </c>
      <c r="E913" s="17" t="s">
        <v>161</v>
      </c>
      <c r="F913" s="17" t="s">
        <v>419</v>
      </c>
      <c r="G913" s="80">
        <v>290.8</v>
      </c>
    </row>
    <row r="914" spans="1:7" ht="24.75" customHeight="1">
      <c r="A914" s="18" t="s">
        <v>67</v>
      </c>
      <c r="B914" s="53" t="s">
        <v>1180</v>
      </c>
      <c r="C914" s="17" t="s">
        <v>1336</v>
      </c>
      <c r="D914" s="17" t="s">
        <v>1340</v>
      </c>
      <c r="E914" s="17" t="s">
        <v>161</v>
      </c>
      <c r="F914" s="17" t="s">
        <v>419</v>
      </c>
      <c r="G914" s="80">
        <v>27.5</v>
      </c>
    </row>
    <row r="915" spans="1:7" ht="24.75" customHeight="1">
      <c r="A915" s="18" t="s">
        <v>68</v>
      </c>
      <c r="B915" s="53" t="s">
        <v>1180</v>
      </c>
      <c r="C915" s="17" t="s">
        <v>1336</v>
      </c>
      <c r="D915" s="17" t="s">
        <v>1340</v>
      </c>
      <c r="E915" s="17" t="s">
        <v>161</v>
      </c>
      <c r="F915" s="17" t="s">
        <v>419</v>
      </c>
      <c r="G915" s="80">
        <v>161</v>
      </c>
    </row>
    <row r="916" spans="1:7" ht="24.75" customHeight="1">
      <c r="A916" s="18" t="s">
        <v>69</v>
      </c>
      <c r="B916" s="53" t="s">
        <v>1180</v>
      </c>
      <c r="C916" s="17" t="s">
        <v>1336</v>
      </c>
      <c r="D916" s="17" t="s">
        <v>1340</v>
      </c>
      <c r="E916" s="17" t="s">
        <v>161</v>
      </c>
      <c r="F916" s="17" t="s">
        <v>419</v>
      </c>
      <c r="G916" s="80">
        <v>90.2</v>
      </c>
    </row>
    <row r="917" spans="1:7" ht="43.5" customHeight="1">
      <c r="A917" s="18" t="s">
        <v>609</v>
      </c>
      <c r="B917" s="53" t="s">
        <v>1180</v>
      </c>
      <c r="C917" s="17" t="s">
        <v>1336</v>
      </c>
      <c r="D917" s="17" t="s">
        <v>1340</v>
      </c>
      <c r="E917" s="17" t="s">
        <v>1227</v>
      </c>
      <c r="F917" s="17" t="s">
        <v>1204</v>
      </c>
      <c r="G917" s="19">
        <f>G918</f>
        <v>3550</v>
      </c>
    </row>
    <row r="918" spans="1:7" ht="21.75" customHeight="1">
      <c r="A918" s="158" t="s">
        <v>471</v>
      </c>
      <c r="B918" s="53" t="s">
        <v>1180</v>
      </c>
      <c r="C918" s="17" t="s">
        <v>1336</v>
      </c>
      <c r="D918" s="17" t="s">
        <v>1340</v>
      </c>
      <c r="E918" s="17" t="s">
        <v>1227</v>
      </c>
      <c r="F918" s="17" t="s">
        <v>1333</v>
      </c>
      <c r="G918" s="80">
        <v>3550</v>
      </c>
    </row>
    <row r="919" spans="1:7" ht="19.5" customHeight="1">
      <c r="A919" s="60" t="s">
        <v>80</v>
      </c>
      <c r="B919" s="53" t="s">
        <v>1180</v>
      </c>
      <c r="C919" s="27" t="s">
        <v>1335</v>
      </c>
      <c r="D919" s="27"/>
      <c r="E919" s="17"/>
      <c r="F919" s="27"/>
      <c r="G919" s="2">
        <f>G920</f>
        <v>700</v>
      </c>
    </row>
    <row r="920" spans="1:7" ht="24">
      <c r="A920" s="31" t="s">
        <v>1184</v>
      </c>
      <c r="B920" s="53" t="s">
        <v>1180</v>
      </c>
      <c r="C920" s="17" t="s">
        <v>1335</v>
      </c>
      <c r="D920" s="17" t="s">
        <v>1340</v>
      </c>
      <c r="E920" s="27"/>
      <c r="F920" s="27"/>
      <c r="G920" s="19">
        <f>G921</f>
        <v>700</v>
      </c>
    </row>
    <row r="921" spans="1:7" ht="26.25" customHeight="1">
      <c r="A921" s="32" t="s">
        <v>560</v>
      </c>
      <c r="B921" s="53" t="s">
        <v>1180</v>
      </c>
      <c r="C921" s="17" t="s">
        <v>1335</v>
      </c>
      <c r="D921" s="17" t="s">
        <v>1340</v>
      </c>
      <c r="E921" s="17" t="s">
        <v>507</v>
      </c>
      <c r="F921" s="27"/>
      <c r="G921" s="19">
        <f>G922+G926</f>
        <v>700</v>
      </c>
    </row>
    <row r="922" spans="1:7" ht="29.25" customHeight="1">
      <c r="A922" s="36" t="s">
        <v>958</v>
      </c>
      <c r="B922" s="53" t="s">
        <v>1180</v>
      </c>
      <c r="C922" s="17" t="s">
        <v>1335</v>
      </c>
      <c r="D922" s="17" t="s">
        <v>1340</v>
      </c>
      <c r="E922" s="17" t="s">
        <v>309</v>
      </c>
      <c r="F922" s="27"/>
      <c r="G922" s="19">
        <f>G923</f>
        <v>500</v>
      </c>
    </row>
    <row r="923" spans="1:7" ht="15.75" customHeight="1">
      <c r="A923" s="18" t="s">
        <v>1203</v>
      </c>
      <c r="B923" s="53" t="s">
        <v>1180</v>
      </c>
      <c r="C923" s="17" t="s">
        <v>1335</v>
      </c>
      <c r="D923" s="17" t="s">
        <v>1340</v>
      </c>
      <c r="E923" s="17" t="s">
        <v>839</v>
      </c>
      <c r="F923" s="27" t="s">
        <v>1204</v>
      </c>
      <c r="G923" s="19">
        <f>G924</f>
        <v>500</v>
      </c>
    </row>
    <row r="924" spans="1:7" ht="15.75" customHeight="1">
      <c r="A924" s="158" t="s">
        <v>486</v>
      </c>
      <c r="B924" s="53" t="s">
        <v>1180</v>
      </c>
      <c r="C924" s="17" t="s">
        <v>1335</v>
      </c>
      <c r="D924" s="17" t="s">
        <v>1340</v>
      </c>
      <c r="E924" s="17" t="s">
        <v>839</v>
      </c>
      <c r="F924" s="27" t="s">
        <v>402</v>
      </c>
      <c r="G924" s="19">
        <f>G925</f>
        <v>500</v>
      </c>
    </row>
    <row r="925" spans="1:7" ht="15.75" customHeight="1">
      <c r="A925" s="158" t="s">
        <v>471</v>
      </c>
      <c r="B925" s="53" t="s">
        <v>1180</v>
      </c>
      <c r="C925" s="17" t="s">
        <v>1335</v>
      </c>
      <c r="D925" s="17" t="s">
        <v>1340</v>
      </c>
      <c r="E925" s="17" t="s">
        <v>839</v>
      </c>
      <c r="F925" s="27" t="s">
        <v>1333</v>
      </c>
      <c r="G925" s="20">
        <v>500</v>
      </c>
    </row>
    <row r="926" spans="1:7" ht="30" customHeight="1">
      <c r="A926" s="36" t="s">
        <v>505</v>
      </c>
      <c r="B926" s="53" t="s">
        <v>1180</v>
      </c>
      <c r="C926" s="17" t="s">
        <v>1335</v>
      </c>
      <c r="D926" s="17" t="s">
        <v>1340</v>
      </c>
      <c r="E926" s="17" t="s">
        <v>506</v>
      </c>
      <c r="F926" s="27"/>
      <c r="G926" s="19">
        <f>G927</f>
        <v>200</v>
      </c>
    </row>
    <row r="927" spans="1:7" ht="15.75" customHeight="1">
      <c r="A927" s="18" t="s">
        <v>308</v>
      </c>
      <c r="B927" s="53" t="s">
        <v>1180</v>
      </c>
      <c r="C927" s="27" t="s">
        <v>1335</v>
      </c>
      <c r="D927" s="27" t="s">
        <v>1340</v>
      </c>
      <c r="E927" s="17" t="s">
        <v>508</v>
      </c>
      <c r="F927" s="27" t="s">
        <v>1204</v>
      </c>
      <c r="G927" s="19">
        <f>G931</f>
        <v>200</v>
      </c>
    </row>
    <row r="928" spans="1:7" ht="18.75" customHeight="1" hidden="1">
      <c r="A928" s="158" t="s">
        <v>471</v>
      </c>
      <c r="B928" s="53" t="s">
        <v>1180</v>
      </c>
      <c r="C928" s="17" t="s">
        <v>1335</v>
      </c>
      <c r="D928" s="17" t="s">
        <v>1340</v>
      </c>
      <c r="E928" s="17" t="s">
        <v>508</v>
      </c>
      <c r="F928" s="17" t="s">
        <v>1333</v>
      </c>
      <c r="G928" s="20"/>
    </row>
    <row r="929" spans="1:7" ht="31.5" customHeight="1" hidden="1">
      <c r="A929" s="158" t="s">
        <v>52</v>
      </c>
      <c r="B929" s="53" t="s">
        <v>1180</v>
      </c>
      <c r="C929" s="17" t="s">
        <v>1335</v>
      </c>
      <c r="D929" s="17" t="s">
        <v>1340</v>
      </c>
      <c r="E929" s="17" t="s">
        <v>508</v>
      </c>
      <c r="F929" s="17" t="s">
        <v>465</v>
      </c>
      <c r="G929" s="20"/>
    </row>
    <row r="930" spans="1:7" ht="15.75" customHeight="1" hidden="1">
      <c r="A930" s="158" t="s">
        <v>233</v>
      </c>
      <c r="B930" s="53" t="s">
        <v>1180</v>
      </c>
      <c r="C930" s="17" t="s">
        <v>1335</v>
      </c>
      <c r="D930" s="17" t="s">
        <v>1340</v>
      </c>
      <c r="E930" s="17" t="s">
        <v>508</v>
      </c>
      <c r="F930" s="17" t="s">
        <v>234</v>
      </c>
      <c r="G930" s="20"/>
    </row>
    <row r="931" spans="1:7" ht="15.75" customHeight="1">
      <c r="A931" s="158" t="s">
        <v>1189</v>
      </c>
      <c r="B931" s="53" t="s">
        <v>1180</v>
      </c>
      <c r="C931" s="17" t="s">
        <v>1335</v>
      </c>
      <c r="D931" s="17" t="s">
        <v>1340</v>
      </c>
      <c r="E931" s="17" t="s">
        <v>508</v>
      </c>
      <c r="F931" s="17" t="s">
        <v>1190</v>
      </c>
      <c r="G931" s="19">
        <f>G932</f>
        <v>200</v>
      </c>
    </row>
    <row r="932" spans="1:7" ht="15.75" customHeight="1">
      <c r="A932" s="18" t="s">
        <v>1191</v>
      </c>
      <c r="B932" s="53" t="s">
        <v>1180</v>
      </c>
      <c r="C932" s="17" t="s">
        <v>1335</v>
      </c>
      <c r="D932" s="17" t="s">
        <v>1340</v>
      </c>
      <c r="E932" s="17" t="s">
        <v>508</v>
      </c>
      <c r="F932" s="17" t="s">
        <v>1192</v>
      </c>
      <c r="G932" s="20">
        <v>200</v>
      </c>
    </row>
    <row r="933" spans="1:7" ht="15.75">
      <c r="A933" s="36" t="s">
        <v>1331</v>
      </c>
      <c r="B933" s="53" t="s">
        <v>1180</v>
      </c>
      <c r="C933" s="17" t="s">
        <v>1337</v>
      </c>
      <c r="D933" s="17"/>
      <c r="E933" s="17"/>
      <c r="F933" s="26"/>
      <c r="G933" s="79">
        <f>G934+G945+G1093</f>
        <v>100437.4</v>
      </c>
    </row>
    <row r="934" spans="1:7" ht="15">
      <c r="A934" s="31" t="s">
        <v>327</v>
      </c>
      <c r="B934" s="53" t="s">
        <v>1180</v>
      </c>
      <c r="C934" s="17" t="s">
        <v>1337</v>
      </c>
      <c r="D934" s="17" t="s">
        <v>184</v>
      </c>
      <c r="E934" s="27"/>
      <c r="F934" s="27"/>
      <c r="G934" s="30">
        <f>G935</f>
        <v>8044.5</v>
      </c>
    </row>
    <row r="935" spans="1:7" ht="25.5" customHeight="1">
      <c r="A935" s="33" t="s">
        <v>120</v>
      </c>
      <c r="B935" s="53" t="s">
        <v>1180</v>
      </c>
      <c r="C935" s="17" t="s">
        <v>1337</v>
      </c>
      <c r="D935" s="17" t="s">
        <v>184</v>
      </c>
      <c r="E935" s="17" t="s">
        <v>600</v>
      </c>
      <c r="F935" s="27"/>
      <c r="G935" s="19">
        <f>G936</f>
        <v>8044.5</v>
      </c>
    </row>
    <row r="936" spans="1:7" ht="36">
      <c r="A936" s="36" t="s">
        <v>1055</v>
      </c>
      <c r="B936" s="53" t="s">
        <v>1180</v>
      </c>
      <c r="C936" s="17" t="s">
        <v>1337</v>
      </c>
      <c r="D936" s="17" t="s">
        <v>184</v>
      </c>
      <c r="E936" s="17" t="s">
        <v>601</v>
      </c>
      <c r="F936" s="27"/>
      <c r="G936" s="19">
        <f>G937</f>
        <v>8044.5</v>
      </c>
    </row>
    <row r="937" spans="1:7" ht="24">
      <c r="A937" s="36" t="s">
        <v>364</v>
      </c>
      <c r="B937" s="53" t="s">
        <v>1180</v>
      </c>
      <c r="C937" s="27" t="s">
        <v>1337</v>
      </c>
      <c r="D937" s="27" t="s">
        <v>184</v>
      </c>
      <c r="E937" s="17" t="s">
        <v>1056</v>
      </c>
      <c r="F937" s="27" t="s">
        <v>1204</v>
      </c>
      <c r="G937" s="30">
        <f>G939</f>
        <v>8044.5</v>
      </c>
    </row>
    <row r="938" spans="1:7" ht="24">
      <c r="A938" s="203" t="s">
        <v>284</v>
      </c>
      <c r="B938" s="53" t="s">
        <v>1180</v>
      </c>
      <c r="C938" s="17" t="s">
        <v>1337</v>
      </c>
      <c r="D938" s="17" t="s">
        <v>184</v>
      </c>
      <c r="E938" s="17" t="s">
        <v>1056</v>
      </c>
      <c r="F938" s="17" t="s">
        <v>1204</v>
      </c>
      <c r="G938" s="19">
        <f>G939</f>
        <v>8044.5</v>
      </c>
    </row>
    <row r="939" spans="1:7" ht="24">
      <c r="A939" s="18" t="s">
        <v>314</v>
      </c>
      <c r="B939" s="53" t="s">
        <v>1180</v>
      </c>
      <c r="C939" s="17" t="s">
        <v>1337</v>
      </c>
      <c r="D939" s="17" t="s">
        <v>184</v>
      </c>
      <c r="E939" s="17" t="s">
        <v>1056</v>
      </c>
      <c r="F939" s="17" t="s">
        <v>1204</v>
      </c>
      <c r="G939" s="19">
        <f>G940+G942</f>
        <v>8044.5</v>
      </c>
    </row>
    <row r="940" spans="1:7" ht="24">
      <c r="A940" s="18" t="s">
        <v>742</v>
      </c>
      <c r="B940" s="53" t="s">
        <v>1180</v>
      </c>
      <c r="C940" s="17" t="s">
        <v>1337</v>
      </c>
      <c r="D940" s="17" t="s">
        <v>184</v>
      </c>
      <c r="E940" s="17" t="s">
        <v>1056</v>
      </c>
      <c r="F940" s="17" t="s">
        <v>402</v>
      </c>
      <c r="G940" s="19">
        <f>G941</f>
        <v>79.7</v>
      </c>
    </row>
    <row r="941" spans="1:7" ht="24">
      <c r="A941" s="18" t="s">
        <v>743</v>
      </c>
      <c r="B941" s="53" t="s">
        <v>1180</v>
      </c>
      <c r="C941" s="17" t="s">
        <v>1337</v>
      </c>
      <c r="D941" s="17" t="s">
        <v>184</v>
      </c>
      <c r="E941" s="17" t="s">
        <v>1056</v>
      </c>
      <c r="F941" s="17" t="s">
        <v>1333</v>
      </c>
      <c r="G941" s="20">
        <v>79.7</v>
      </c>
    </row>
    <row r="942" spans="1:7" ht="24">
      <c r="A942" s="158" t="s">
        <v>405</v>
      </c>
      <c r="B942" s="53" t="s">
        <v>1180</v>
      </c>
      <c r="C942" s="17" t="s">
        <v>1337</v>
      </c>
      <c r="D942" s="17" t="s">
        <v>184</v>
      </c>
      <c r="E942" s="17" t="s">
        <v>1056</v>
      </c>
      <c r="F942" s="17" t="s">
        <v>406</v>
      </c>
      <c r="G942" s="19">
        <f>G943</f>
        <v>7964.8</v>
      </c>
    </row>
    <row r="943" spans="1:7" ht="24">
      <c r="A943" s="36" t="s">
        <v>570</v>
      </c>
      <c r="B943" s="53" t="s">
        <v>1180</v>
      </c>
      <c r="C943" s="17" t="s">
        <v>1337</v>
      </c>
      <c r="D943" s="17" t="s">
        <v>184</v>
      </c>
      <c r="E943" s="17" t="s">
        <v>1056</v>
      </c>
      <c r="F943" s="17" t="s">
        <v>635</v>
      </c>
      <c r="G943" s="20">
        <f>8044.5-79.7</f>
        <v>7964.8</v>
      </c>
    </row>
    <row r="944" spans="1:7" ht="24" hidden="1">
      <c r="A944" s="18" t="s">
        <v>143</v>
      </c>
      <c r="B944" s="53" t="s">
        <v>1180</v>
      </c>
      <c r="C944" s="17" t="s">
        <v>1337</v>
      </c>
      <c r="D944" s="17" t="s">
        <v>184</v>
      </c>
      <c r="E944" s="17" t="s">
        <v>1056</v>
      </c>
      <c r="F944" s="17" t="s">
        <v>144</v>
      </c>
      <c r="G944" s="20">
        <v>8044.5</v>
      </c>
    </row>
    <row r="945" spans="1:7" ht="15">
      <c r="A945" s="31" t="s">
        <v>343</v>
      </c>
      <c r="B945" s="53" t="s">
        <v>1180</v>
      </c>
      <c r="C945" s="17" t="s">
        <v>1337</v>
      </c>
      <c r="D945" s="17" t="s">
        <v>1340</v>
      </c>
      <c r="E945" s="17"/>
      <c r="F945" s="17"/>
      <c r="G945" s="30">
        <f>G946+G1059+G1065</f>
        <v>60192.399999999994</v>
      </c>
    </row>
    <row r="946" spans="1:7" ht="24">
      <c r="A946" s="33" t="s">
        <v>120</v>
      </c>
      <c r="B946" s="53" t="s">
        <v>1180</v>
      </c>
      <c r="C946" s="17" t="s">
        <v>1337</v>
      </c>
      <c r="D946" s="17" t="s">
        <v>1340</v>
      </c>
      <c r="E946" s="17" t="s">
        <v>600</v>
      </c>
      <c r="F946" s="17"/>
      <c r="G946" s="19">
        <f>G947+G1055</f>
        <v>47480.99999999999</v>
      </c>
    </row>
    <row r="947" spans="1:7" ht="39" customHeight="1">
      <c r="A947" s="36" t="s">
        <v>1055</v>
      </c>
      <c r="B947" s="53" t="s">
        <v>1180</v>
      </c>
      <c r="C947" s="17" t="s">
        <v>1337</v>
      </c>
      <c r="D947" s="17" t="s">
        <v>1340</v>
      </c>
      <c r="E947" s="17" t="s">
        <v>601</v>
      </c>
      <c r="F947" s="17"/>
      <c r="G947" s="19">
        <f>G948+G954+G959+G963+G967+G973+G979+G985+G991+G997+G1003+G1009+G1030+G1015+G1021+G1025+G1032+G1038+G1042+G1046+G1049</f>
        <v>46980.99999999999</v>
      </c>
    </row>
    <row r="948" spans="1:7" ht="112.5" customHeight="1">
      <c r="A948" s="237" t="s">
        <v>0</v>
      </c>
      <c r="B948" s="53" t="s">
        <v>1180</v>
      </c>
      <c r="C948" s="17" t="s">
        <v>1337</v>
      </c>
      <c r="D948" s="17" t="s">
        <v>1340</v>
      </c>
      <c r="E948" s="17" t="s">
        <v>317</v>
      </c>
      <c r="F948" s="17" t="s">
        <v>1204</v>
      </c>
      <c r="G948" s="19">
        <f>G949+G951</f>
        <v>403</v>
      </c>
    </row>
    <row r="949" spans="1:7" ht="24">
      <c r="A949" s="18" t="s">
        <v>742</v>
      </c>
      <c r="B949" s="53" t="s">
        <v>1180</v>
      </c>
      <c r="C949" s="17" t="s">
        <v>1337</v>
      </c>
      <c r="D949" s="17" t="s">
        <v>1340</v>
      </c>
      <c r="E949" s="17" t="s">
        <v>317</v>
      </c>
      <c r="F949" s="17" t="s">
        <v>402</v>
      </c>
      <c r="G949" s="19">
        <f>G950</f>
        <v>3</v>
      </c>
    </row>
    <row r="950" spans="1:7" ht="24">
      <c r="A950" s="18" t="s">
        <v>743</v>
      </c>
      <c r="B950" s="53" t="s">
        <v>1180</v>
      </c>
      <c r="C950" s="17" t="s">
        <v>1337</v>
      </c>
      <c r="D950" s="17" t="s">
        <v>1340</v>
      </c>
      <c r="E950" s="17" t="s">
        <v>317</v>
      </c>
      <c r="F950" s="17" t="s">
        <v>1333</v>
      </c>
      <c r="G950" s="20">
        <v>3</v>
      </c>
    </row>
    <row r="951" spans="1:7" ht="24">
      <c r="A951" s="158" t="s">
        <v>405</v>
      </c>
      <c r="B951" s="53" t="s">
        <v>1180</v>
      </c>
      <c r="C951" s="17" t="s">
        <v>1337</v>
      </c>
      <c r="D951" s="17" t="s">
        <v>1340</v>
      </c>
      <c r="E951" s="17" t="s">
        <v>317</v>
      </c>
      <c r="F951" s="17" t="s">
        <v>406</v>
      </c>
      <c r="G951" s="19">
        <f>G952</f>
        <v>400</v>
      </c>
    </row>
    <row r="952" spans="1:7" ht="24">
      <c r="A952" s="36" t="s">
        <v>570</v>
      </c>
      <c r="B952" s="53" t="s">
        <v>1180</v>
      </c>
      <c r="C952" s="17" t="s">
        <v>1337</v>
      </c>
      <c r="D952" s="17" t="s">
        <v>1340</v>
      </c>
      <c r="E952" s="17" t="s">
        <v>317</v>
      </c>
      <c r="F952" s="17" t="s">
        <v>635</v>
      </c>
      <c r="G952" s="20">
        <f>400</f>
        <v>400</v>
      </c>
    </row>
    <row r="953" spans="1:7" ht="24" hidden="1">
      <c r="A953" s="18" t="s">
        <v>143</v>
      </c>
      <c r="B953" s="53" t="s">
        <v>1180</v>
      </c>
      <c r="C953" s="17" t="s">
        <v>1337</v>
      </c>
      <c r="D953" s="17" t="s">
        <v>1340</v>
      </c>
      <c r="E953" s="17" t="s">
        <v>317</v>
      </c>
      <c r="F953" s="17" t="s">
        <v>144</v>
      </c>
      <c r="G953" s="20"/>
    </row>
    <row r="954" spans="1:7" ht="36">
      <c r="A954" s="36" t="s">
        <v>710</v>
      </c>
      <c r="B954" s="53" t="s">
        <v>1180</v>
      </c>
      <c r="C954" s="17" t="s">
        <v>1337</v>
      </c>
      <c r="D954" s="17" t="s">
        <v>1340</v>
      </c>
      <c r="E954" s="17" t="s">
        <v>318</v>
      </c>
      <c r="F954" s="17" t="s">
        <v>1204</v>
      </c>
      <c r="G954" s="19">
        <f>G955+G957</f>
        <v>321.7</v>
      </c>
    </row>
    <row r="955" spans="1:7" ht="24">
      <c r="A955" s="18" t="s">
        <v>742</v>
      </c>
      <c r="B955" s="53" t="s">
        <v>1180</v>
      </c>
      <c r="C955" s="17" t="s">
        <v>1337</v>
      </c>
      <c r="D955" s="17" t="s">
        <v>1340</v>
      </c>
      <c r="E955" s="17" t="s">
        <v>318</v>
      </c>
      <c r="F955" s="17" t="s">
        <v>402</v>
      </c>
      <c r="G955" s="19">
        <f>G956</f>
        <v>2.4</v>
      </c>
    </row>
    <row r="956" spans="1:7" ht="24">
      <c r="A956" s="18" t="s">
        <v>743</v>
      </c>
      <c r="B956" s="53" t="s">
        <v>1180</v>
      </c>
      <c r="C956" s="17" t="s">
        <v>1337</v>
      </c>
      <c r="D956" s="17" t="s">
        <v>1340</v>
      </c>
      <c r="E956" s="17" t="s">
        <v>318</v>
      </c>
      <c r="F956" s="17" t="s">
        <v>1333</v>
      </c>
      <c r="G956" s="20">
        <v>2.4</v>
      </c>
    </row>
    <row r="957" spans="1:7" ht="20.25" customHeight="1">
      <c r="A957" s="158" t="s">
        <v>405</v>
      </c>
      <c r="B957" s="53" t="s">
        <v>1180</v>
      </c>
      <c r="C957" s="17" t="s">
        <v>1337</v>
      </c>
      <c r="D957" s="17" t="s">
        <v>1340</v>
      </c>
      <c r="E957" s="17" t="s">
        <v>318</v>
      </c>
      <c r="F957" s="17" t="s">
        <v>406</v>
      </c>
      <c r="G957" s="19">
        <f>G958</f>
        <v>319.3</v>
      </c>
    </row>
    <row r="958" spans="1:7" ht="22.5" customHeight="1">
      <c r="A958" s="36" t="s">
        <v>570</v>
      </c>
      <c r="B958" s="53" t="s">
        <v>1180</v>
      </c>
      <c r="C958" s="17" t="s">
        <v>1337</v>
      </c>
      <c r="D958" s="17" t="s">
        <v>1340</v>
      </c>
      <c r="E958" s="17" t="s">
        <v>318</v>
      </c>
      <c r="F958" s="17" t="s">
        <v>635</v>
      </c>
      <c r="G958" s="20">
        <v>319.3</v>
      </c>
    </row>
    <row r="959" spans="1:7" ht="76.5" customHeight="1">
      <c r="A959" s="18" t="s">
        <v>789</v>
      </c>
      <c r="B959" s="53" t="s">
        <v>1180</v>
      </c>
      <c r="C959" s="17" t="s">
        <v>1337</v>
      </c>
      <c r="D959" s="17" t="s">
        <v>1340</v>
      </c>
      <c r="E959" s="17" t="s">
        <v>319</v>
      </c>
      <c r="F959" s="17" t="s">
        <v>1204</v>
      </c>
      <c r="G959" s="19">
        <f>G960</f>
        <v>2060</v>
      </c>
    </row>
    <row r="960" spans="1:7" ht="19.5" customHeight="1">
      <c r="A960" s="158" t="s">
        <v>405</v>
      </c>
      <c r="B960" s="53" t="s">
        <v>1180</v>
      </c>
      <c r="C960" s="17" t="s">
        <v>1337</v>
      </c>
      <c r="D960" s="17" t="s">
        <v>1340</v>
      </c>
      <c r="E960" s="17" t="s">
        <v>319</v>
      </c>
      <c r="F960" s="17" t="s">
        <v>406</v>
      </c>
      <c r="G960" s="19">
        <f>G961</f>
        <v>2060</v>
      </c>
    </row>
    <row r="961" spans="1:7" ht="24">
      <c r="A961" s="36" t="s">
        <v>570</v>
      </c>
      <c r="B961" s="53" t="s">
        <v>1180</v>
      </c>
      <c r="C961" s="17" t="s">
        <v>1337</v>
      </c>
      <c r="D961" s="17" t="s">
        <v>1340</v>
      </c>
      <c r="E961" s="17" t="s">
        <v>319</v>
      </c>
      <c r="F961" s="17" t="s">
        <v>635</v>
      </c>
      <c r="G961" s="20">
        <f>2560-500</f>
        <v>2060</v>
      </c>
    </row>
    <row r="962" spans="1:7" ht="24" hidden="1">
      <c r="A962" s="18" t="s">
        <v>143</v>
      </c>
      <c r="B962" s="53" t="s">
        <v>1180</v>
      </c>
      <c r="C962" s="17" t="s">
        <v>1337</v>
      </c>
      <c r="D962" s="17" t="s">
        <v>1340</v>
      </c>
      <c r="E962" s="17" t="s">
        <v>319</v>
      </c>
      <c r="F962" s="17" t="s">
        <v>144</v>
      </c>
      <c r="G962" s="20">
        <v>2560</v>
      </c>
    </row>
    <row r="963" spans="1:7" ht="34.5" customHeight="1">
      <c r="A963" s="18" t="s">
        <v>388</v>
      </c>
      <c r="B963" s="53" t="s">
        <v>1180</v>
      </c>
      <c r="C963" s="17" t="s">
        <v>1337</v>
      </c>
      <c r="D963" s="17" t="s">
        <v>1340</v>
      </c>
      <c r="E963" s="17" t="s">
        <v>320</v>
      </c>
      <c r="F963" s="17" t="s">
        <v>1204</v>
      </c>
      <c r="G963" s="19">
        <f>G964</f>
        <v>300</v>
      </c>
    </row>
    <row r="964" spans="1:7" ht="15.75" customHeight="1">
      <c r="A964" s="158" t="s">
        <v>405</v>
      </c>
      <c r="B964" s="53" t="s">
        <v>1180</v>
      </c>
      <c r="C964" s="17" t="s">
        <v>1337</v>
      </c>
      <c r="D964" s="17" t="s">
        <v>1340</v>
      </c>
      <c r="E964" s="17" t="s">
        <v>320</v>
      </c>
      <c r="F964" s="17" t="s">
        <v>406</v>
      </c>
      <c r="G964" s="19">
        <f>G965</f>
        <v>300</v>
      </c>
    </row>
    <row r="965" spans="1:7" ht="15.75" customHeight="1">
      <c r="A965" s="36" t="s">
        <v>570</v>
      </c>
      <c r="B965" s="53" t="s">
        <v>1180</v>
      </c>
      <c r="C965" s="17" t="s">
        <v>1337</v>
      </c>
      <c r="D965" s="17" t="s">
        <v>1340</v>
      </c>
      <c r="E965" s="17" t="s">
        <v>320</v>
      </c>
      <c r="F965" s="17" t="s">
        <v>635</v>
      </c>
      <c r="G965" s="20">
        <v>300</v>
      </c>
    </row>
    <row r="966" spans="1:7" ht="24" hidden="1">
      <c r="A966" s="18" t="s">
        <v>143</v>
      </c>
      <c r="B966" s="53" t="s">
        <v>1180</v>
      </c>
      <c r="C966" s="17" t="s">
        <v>1337</v>
      </c>
      <c r="D966" s="17" t="s">
        <v>1340</v>
      </c>
      <c r="E966" s="17" t="s">
        <v>320</v>
      </c>
      <c r="F966" s="17" t="s">
        <v>144</v>
      </c>
      <c r="G966" s="20">
        <v>300</v>
      </c>
    </row>
    <row r="967" spans="1:7" ht="24">
      <c r="A967" s="18" t="s">
        <v>1250</v>
      </c>
      <c r="B967" s="53" t="s">
        <v>1180</v>
      </c>
      <c r="C967" s="17" t="s">
        <v>1337</v>
      </c>
      <c r="D967" s="17" t="s">
        <v>1340</v>
      </c>
      <c r="E967" s="17" t="s">
        <v>321</v>
      </c>
      <c r="F967" s="17" t="s">
        <v>1204</v>
      </c>
      <c r="G967" s="19">
        <f>G968+G970</f>
        <v>327.1</v>
      </c>
    </row>
    <row r="968" spans="1:7" ht="24">
      <c r="A968" s="18" t="s">
        <v>742</v>
      </c>
      <c r="B968" s="53" t="s">
        <v>1180</v>
      </c>
      <c r="C968" s="17" t="s">
        <v>1337</v>
      </c>
      <c r="D968" s="17" t="s">
        <v>1340</v>
      </c>
      <c r="E968" s="17" t="s">
        <v>321</v>
      </c>
      <c r="F968" s="17" t="s">
        <v>402</v>
      </c>
      <c r="G968" s="19">
        <f>G969</f>
        <v>10.6</v>
      </c>
    </row>
    <row r="969" spans="1:7" ht="24">
      <c r="A969" s="18" t="s">
        <v>743</v>
      </c>
      <c r="B969" s="53" t="s">
        <v>1180</v>
      </c>
      <c r="C969" s="17" t="s">
        <v>1337</v>
      </c>
      <c r="D969" s="17" t="s">
        <v>1340</v>
      </c>
      <c r="E969" s="17" t="s">
        <v>321</v>
      </c>
      <c r="F969" s="17" t="s">
        <v>1333</v>
      </c>
      <c r="G969" s="20">
        <v>10.6</v>
      </c>
    </row>
    <row r="970" spans="1:7" ht="24">
      <c r="A970" s="158" t="s">
        <v>405</v>
      </c>
      <c r="B970" s="53" t="s">
        <v>1180</v>
      </c>
      <c r="C970" s="17" t="s">
        <v>1337</v>
      </c>
      <c r="D970" s="17" t="s">
        <v>1340</v>
      </c>
      <c r="E970" s="17" t="s">
        <v>321</v>
      </c>
      <c r="F970" s="17" t="s">
        <v>406</v>
      </c>
      <c r="G970" s="19">
        <f>G971</f>
        <v>316.5</v>
      </c>
    </row>
    <row r="971" spans="1:7" ht="24">
      <c r="A971" s="36" t="s">
        <v>570</v>
      </c>
      <c r="B971" s="53" t="s">
        <v>1180</v>
      </c>
      <c r="C971" s="17" t="s">
        <v>1337</v>
      </c>
      <c r="D971" s="17" t="s">
        <v>1340</v>
      </c>
      <c r="E971" s="17" t="s">
        <v>321</v>
      </c>
      <c r="F971" s="17" t="s">
        <v>635</v>
      </c>
      <c r="G971" s="20">
        <f>363.1-10.6-36</f>
        <v>316.5</v>
      </c>
    </row>
    <row r="972" spans="1:7" ht="24" hidden="1">
      <c r="A972" s="18" t="s">
        <v>143</v>
      </c>
      <c r="B972" s="53" t="s">
        <v>1180</v>
      </c>
      <c r="C972" s="17" t="s">
        <v>1337</v>
      </c>
      <c r="D972" s="17" t="s">
        <v>1340</v>
      </c>
      <c r="E972" s="17" t="s">
        <v>321</v>
      </c>
      <c r="F972" s="17" t="s">
        <v>144</v>
      </c>
      <c r="G972" s="20">
        <v>363.1</v>
      </c>
    </row>
    <row r="973" spans="1:7" ht="22.5" customHeight="1">
      <c r="A973" s="18" t="s">
        <v>1035</v>
      </c>
      <c r="B973" s="53" t="s">
        <v>1180</v>
      </c>
      <c r="C973" s="17" t="s">
        <v>1337</v>
      </c>
      <c r="D973" s="17" t="s">
        <v>1340</v>
      </c>
      <c r="E973" s="17" t="s">
        <v>322</v>
      </c>
      <c r="F973" s="17" t="s">
        <v>1204</v>
      </c>
      <c r="G973" s="19">
        <f>G974+G976</f>
        <v>183.9</v>
      </c>
    </row>
    <row r="974" spans="1:7" ht="22.5" customHeight="1">
      <c r="A974" s="18" t="s">
        <v>742</v>
      </c>
      <c r="B974" s="53" t="s">
        <v>1180</v>
      </c>
      <c r="C974" s="17" t="s">
        <v>1337</v>
      </c>
      <c r="D974" s="17" t="s">
        <v>1340</v>
      </c>
      <c r="E974" s="17" t="s">
        <v>322</v>
      </c>
      <c r="F974" s="17" t="s">
        <v>402</v>
      </c>
      <c r="G974" s="19">
        <f>G975</f>
        <v>5.4</v>
      </c>
    </row>
    <row r="975" spans="1:7" ht="22.5" customHeight="1">
      <c r="A975" s="18" t="s">
        <v>743</v>
      </c>
      <c r="B975" s="53" t="s">
        <v>1180</v>
      </c>
      <c r="C975" s="17" t="s">
        <v>1337</v>
      </c>
      <c r="D975" s="17" t="s">
        <v>1340</v>
      </c>
      <c r="E975" s="17" t="s">
        <v>322</v>
      </c>
      <c r="F975" s="17" t="s">
        <v>1333</v>
      </c>
      <c r="G975" s="20">
        <v>5.4</v>
      </c>
    </row>
    <row r="976" spans="1:7" ht="22.5" customHeight="1">
      <c r="A976" s="158" t="s">
        <v>405</v>
      </c>
      <c r="B976" s="53" t="s">
        <v>1180</v>
      </c>
      <c r="C976" s="17" t="s">
        <v>1337</v>
      </c>
      <c r="D976" s="17" t="s">
        <v>1340</v>
      </c>
      <c r="E976" s="17" t="s">
        <v>322</v>
      </c>
      <c r="F976" s="17" t="s">
        <v>406</v>
      </c>
      <c r="G976" s="19">
        <f>G977</f>
        <v>178.5</v>
      </c>
    </row>
    <row r="977" spans="1:7" ht="22.5" customHeight="1">
      <c r="A977" s="36" t="s">
        <v>570</v>
      </c>
      <c r="B977" s="53" t="s">
        <v>1180</v>
      </c>
      <c r="C977" s="17" t="s">
        <v>1337</v>
      </c>
      <c r="D977" s="17" t="s">
        <v>1340</v>
      </c>
      <c r="E977" s="17" t="s">
        <v>322</v>
      </c>
      <c r="F977" s="17" t="s">
        <v>635</v>
      </c>
      <c r="G977" s="20">
        <f>183.9-5.4</f>
        <v>178.5</v>
      </c>
    </row>
    <row r="978" spans="1:7" ht="21" customHeight="1" hidden="1">
      <c r="A978" s="18" t="s">
        <v>143</v>
      </c>
      <c r="B978" s="53" t="s">
        <v>1180</v>
      </c>
      <c r="C978" s="17" t="s">
        <v>1337</v>
      </c>
      <c r="D978" s="17" t="s">
        <v>1340</v>
      </c>
      <c r="E978" s="17" t="s">
        <v>322</v>
      </c>
      <c r="F978" s="17" t="s">
        <v>144</v>
      </c>
      <c r="G978" s="20">
        <v>183.9</v>
      </c>
    </row>
    <row r="979" spans="1:7" ht="23.25" customHeight="1">
      <c r="A979" s="18" t="s">
        <v>24</v>
      </c>
      <c r="B979" s="53" t="s">
        <v>1180</v>
      </c>
      <c r="C979" s="17" t="s">
        <v>1337</v>
      </c>
      <c r="D979" s="17" t="s">
        <v>1340</v>
      </c>
      <c r="E979" s="17" t="s">
        <v>972</v>
      </c>
      <c r="F979" s="17" t="s">
        <v>1204</v>
      </c>
      <c r="G979" s="19">
        <f>G980+G982</f>
        <v>380.5</v>
      </c>
    </row>
    <row r="980" spans="1:7" ht="23.25" customHeight="1">
      <c r="A980" s="18" t="s">
        <v>742</v>
      </c>
      <c r="B980" s="53" t="s">
        <v>1180</v>
      </c>
      <c r="C980" s="17" t="s">
        <v>1337</v>
      </c>
      <c r="D980" s="17" t="s">
        <v>1340</v>
      </c>
      <c r="E980" s="17" t="s">
        <v>972</v>
      </c>
      <c r="F980" s="17" t="s">
        <v>402</v>
      </c>
      <c r="G980" s="19">
        <f>G981</f>
        <v>10</v>
      </c>
    </row>
    <row r="981" spans="1:7" ht="23.25" customHeight="1">
      <c r="A981" s="18" t="s">
        <v>743</v>
      </c>
      <c r="B981" s="53" t="s">
        <v>1180</v>
      </c>
      <c r="C981" s="17" t="s">
        <v>1337</v>
      </c>
      <c r="D981" s="17" t="s">
        <v>1340</v>
      </c>
      <c r="E981" s="17" t="s">
        <v>972</v>
      </c>
      <c r="F981" s="17" t="s">
        <v>1333</v>
      </c>
      <c r="G981" s="20">
        <v>10</v>
      </c>
    </row>
    <row r="982" spans="1:7" ht="23.25" customHeight="1">
      <c r="A982" s="158" t="s">
        <v>405</v>
      </c>
      <c r="B982" s="53" t="s">
        <v>1180</v>
      </c>
      <c r="C982" s="17" t="s">
        <v>1337</v>
      </c>
      <c r="D982" s="17" t="s">
        <v>1340</v>
      </c>
      <c r="E982" s="17" t="s">
        <v>972</v>
      </c>
      <c r="F982" s="17" t="s">
        <v>406</v>
      </c>
      <c r="G982" s="19">
        <f>G983</f>
        <v>370.5</v>
      </c>
    </row>
    <row r="983" spans="1:7" ht="22.5" customHeight="1">
      <c r="A983" s="36" t="s">
        <v>570</v>
      </c>
      <c r="B983" s="53" t="s">
        <v>1180</v>
      </c>
      <c r="C983" s="17" t="s">
        <v>1337</v>
      </c>
      <c r="D983" s="17" t="s">
        <v>1340</v>
      </c>
      <c r="E983" s="17" t="s">
        <v>972</v>
      </c>
      <c r="F983" s="17" t="s">
        <v>635</v>
      </c>
      <c r="G983" s="20">
        <f>344.5-10+36</f>
        <v>370.5</v>
      </c>
    </row>
    <row r="984" spans="1:7" ht="22.5" customHeight="1" hidden="1">
      <c r="A984" s="18" t="s">
        <v>143</v>
      </c>
      <c r="B984" s="53" t="s">
        <v>1180</v>
      </c>
      <c r="C984" s="17" t="s">
        <v>1337</v>
      </c>
      <c r="D984" s="17" t="s">
        <v>1340</v>
      </c>
      <c r="E984" s="17" t="s">
        <v>972</v>
      </c>
      <c r="F984" s="17" t="s">
        <v>144</v>
      </c>
      <c r="G984" s="20">
        <v>344.5</v>
      </c>
    </row>
    <row r="985" spans="1:7" ht="24">
      <c r="A985" s="18" t="s">
        <v>25</v>
      </c>
      <c r="B985" s="53" t="s">
        <v>1180</v>
      </c>
      <c r="C985" s="17" t="s">
        <v>1337</v>
      </c>
      <c r="D985" s="17" t="s">
        <v>1340</v>
      </c>
      <c r="E985" s="17" t="s">
        <v>973</v>
      </c>
      <c r="F985" s="17" t="s">
        <v>1204</v>
      </c>
      <c r="G985" s="19">
        <f>G986+G988</f>
        <v>24.7</v>
      </c>
    </row>
    <row r="986" spans="1:7" ht="24">
      <c r="A986" s="18" t="s">
        <v>742</v>
      </c>
      <c r="B986" s="53" t="s">
        <v>1180</v>
      </c>
      <c r="C986" s="17" t="s">
        <v>1337</v>
      </c>
      <c r="D986" s="17" t="s">
        <v>1340</v>
      </c>
      <c r="E986" s="17" t="s">
        <v>973</v>
      </c>
      <c r="F986" s="17" t="s">
        <v>402</v>
      </c>
      <c r="G986" s="19">
        <f>G987</f>
        <v>0.7</v>
      </c>
    </row>
    <row r="987" spans="1:7" ht="24">
      <c r="A987" s="18" t="s">
        <v>743</v>
      </c>
      <c r="B987" s="53" t="s">
        <v>1180</v>
      </c>
      <c r="C987" s="17" t="s">
        <v>1337</v>
      </c>
      <c r="D987" s="17" t="s">
        <v>1340</v>
      </c>
      <c r="E987" s="17" t="s">
        <v>973</v>
      </c>
      <c r="F987" s="17" t="s">
        <v>1333</v>
      </c>
      <c r="G987" s="20">
        <v>0.7</v>
      </c>
    </row>
    <row r="988" spans="1:7" ht="24">
      <c r="A988" s="158" t="s">
        <v>405</v>
      </c>
      <c r="B988" s="53" t="s">
        <v>1180</v>
      </c>
      <c r="C988" s="17" t="s">
        <v>1337</v>
      </c>
      <c r="D988" s="17" t="s">
        <v>1340</v>
      </c>
      <c r="E988" s="17" t="s">
        <v>973</v>
      </c>
      <c r="F988" s="17" t="s">
        <v>406</v>
      </c>
      <c r="G988" s="19">
        <f>G989</f>
        <v>24</v>
      </c>
    </row>
    <row r="989" spans="1:7" ht="24">
      <c r="A989" s="36" t="s">
        <v>570</v>
      </c>
      <c r="B989" s="53" t="s">
        <v>1180</v>
      </c>
      <c r="C989" s="17" t="s">
        <v>1337</v>
      </c>
      <c r="D989" s="17" t="s">
        <v>1340</v>
      </c>
      <c r="E989" s="17" t="s">
        <v>973</v>
      </c>
      <c r="F989" s="17" t="s">
        <v>635</v>
      </c>
      <c r="G989" s="20">
        <f>24.7-0.7</f>
        <v>24</v>
      </c>
    </row>
    <row r="990" spans="1:7" ht="24" hidden="1">
      <c r="A990" s="18" t="s">
        <v>143</v>
      </c>
      <c r="B990" s="53" t="s">
        <v>1180</v>
      </c>
      <c r="C990" s="17" t="s">
        <v>1337</v>
      </c>
      <c r="D990" s="17" t="s">
        <v>1340</v>
      </c>
      <c r="E990" s="17" t="s">
        <v>973</v>
      </c>
      <c r="F990" s="17" t="s">
        <v>144</v>
      </c>
      <c r="G990" s="20">
        <v>24.7</v>
      </c>
    </row>
    <row r="991" spans="1:7" ht="24">
      <c r="A991" s="18" t="s">
        <v>632</v>
      </c>
      <c r="B991" s="53" t="s">
        <v>1180</v>
      </c>
      <c r="C991" s="17" t="s">
        <v>1337</v>
      </c>
      <c r="D991" s="17" t="s">
        <v>1340</v>
      </c>
      <c r="E991" s="17" t="s">
        <v>974</v>
      </c>
      <c r="F991" s="17" t="s">
        <v>1204</v>
      </c>
      <c r="G991" s="19">
        <f>G992+G994</f>
        <v>38.6</v>
      </c>
    </row>
    <row r="992" spans="1:7" ht="24">
      <c r="A992" s="18" t="s">
        <v>742</v>
      </c>
      <c r="B992" s="53" t="s">
        <v>1180</v>
      </c>
      <c r="C992" s="17" t="s">
        <v>1337</v>
      </c>
      <c r="D992" s="17" t="s">
        <v>1340</v>
      </c>
      <c r="E992" s="17" t="s">
        <v>974</v>
      </c>
      <c r="F992" s="17" t="s">
        <v>402</v>
      </c>
      <c r="G992" s="19">
        <f>G993</f>
        <v>1.1</v>
      </c>
    </row>
    <row r="993" spans="1:7" ht="24">
      <c r="A993" s="18" t="s">
        <v>743</v>
      </c>
      <c r="B993" s="53" t="s">
        <v>1180</v>
      </c>
      <c r="C993" s="17" t="s">
        <v>1337</v>
      </c>
      <c r="D993" s="17" t="s">
        <v>1340</v>
      </c>
      <c r="E993" s="17" t="s">
        <v>974</v>
      </c>
      <c r="F993" s="17" t="s">
        <v>1333</v>
      </c>
      <c r="G993" s="20">
        <v>1.1</v>
      </c>
    </row>
    <row r="994" spans="1:7" ht="24">
      <c r="A994" s="158" t="s">
        <v>405</v>
      </c>
      <c r="B994" s="53" t="s">
        <v>1180</v>
      </c>
      <c r="C994" s="17" t="s">
        <v>1337</v>
      </c>
      <c r="D994" s="17" t="s">
        <v>1340</v>
      </c>
      <c r="E994" s="17" t="s">
        <v>974</v>
      </c>
      <c r="F994" s="17" t="s">
        <v>406</v>
      </c>
      <c r="G994" s="19">
        <f>G995</f>
        <v>37.5</v>
      </c>
    </row>
    <row r="995" spans="1:7" ht="24">
      <c r="A995" s="36" t="s">
        <v>570</v>
      </c>
      <c r="B995" s="53" t="s">
        <v>1180</v>
      </c>
      <c r="C995" s="17" t="s">
        <v>1337</v>
      </c>
      <c r="D995" s="17" t="s">
        <v>1340</v>
      </c>
      <c r="E995" s="17" t="s">
        <v>974</v>
      </c>
      <c r="F995" s="17" t="s">
        <v>635</v>
      </c>
      <c r="G995" s="20">
        <f>38.6-1.1</f>
        <v>37.5</v>
      </c>
    </row>
    <row r="996" spans="1:7" ht="24" hidden="1">
      <c r="A996" s="18" t="s">
        <v>143</v>
      </c>
      <c r="B996" s="53" t="s">
        <v>1180</v>
      </c>
      <c r="C996" s="17" t="s">
        <v>1337</v>
      </c>
      <c r="D996" s="17" t="s">
        <v>1340</v>
      </c>
      <c r="E996" s="17" t="s">
        <v>974</v>
      </c>
      <c r="F996" s="17" t="s">
        <v>144</v>
      </c>
      <c r="G996" s="20">
        <v>38.6</v>
      </c>
    </row>
    <row r="997" spans="1:7" ht="24">
      <c r="A997" s="18" t="s">
        <v>4</v>
      </c>
      <c r="B997" s="53" t="s">
        <v>1180</v>
      </c>
      <c r="C997" s="17" t="s">
        <v>1337</v>
      </c>
      <c r="D997" s="17" t="s">
        <v>1340</v>
      </c>
      <c r="E997" s="17" t="s">
        <v>975</v>
      </c>
      <c r="F997" s="17" t="s">
        <v>1204</v>
      </c>
      <c r="G997" s="19">
        <f>G998+G1000</f>
        <v>35.5</v>
      </c>
    </row>
    <row r="998" spans="1:7" ht="24">
      <c r="A998" s="18" t="s">
        <v>742</v>
      </c>
      <c r="B998" s="53" t="s">
        <v>1180</v>
      </c>
      <c r="C998" s="17" t="s">
        <v>1337</v>
      </c>
      <c r="D998" s="17" t="s">
        <v>1340</v>
      </c>
      <c r="E998" s="17" t="s">
        <v>975</v>
      </c>
      <c r="F998" s="17" t="s">
        <v>402</v>
      </c>
      <c r="G998" s="19">
        <f>G999</f>
        <v>1</v>
      </c>
    </row>
    <row r="999" spans="1:7" ht="24">
      <c r="A999" s="18" t="s">
        <v>743</v>
      </c>
      <c r="B999" s="53" t="s">
        <v>1180</v>
      </c>
      <c r="C999" s="17" t="s">
        <v>1337</v>
      </c>
      <c r="D999" s="17" t="s">
        <v>1340</v>
      </c>
      <c r="E999" s="17" t="s">
        <v>975</v>
      </c>
      <c r="F999" s="17" t="s">
        <v>1333</v>
      </c>
      <c r="G999" s="20">
        <v>1</v>
      </c>
    </row>
    <row r="1000" spans="1:7" ht="24">
      <c r="A1000" s="158" t="s">
        <v>405</v>
      </c>
      <c r="B1000" s="53" t="s">
        <v>1180</v>
      </c>
      <c r="C1000" s="17" t="s">
        <v>1337</v>
      </c>
      <c r="D1000" s="17" t="s">
        <v>1340</v>
      </c>
      <c r="E1000" s="17" t="s">
        <v>975</v>
      </c>
      <c r="F1000" s="17" t="s">
        <v>406</v>
      </c>
      <c r="G1000" s="19">
        <f>G1001</f>
        <v>34.5</v>
      </c>
    </row>
    <row r="1001" spans="1:7" ht="24">
      <c r="A1001" s="36" t="s">
        <v>570</v>
      </c>
      <c r="B1001" s="53" t="s">
        <v>1180</v>
      </c>
      <c r="C1001" s="17" t="s">
        <v>1337</v>
      </c>
      <c r="D1001" s="17" t="s">
        <v>1340</v>
      </c>
      <c r="E1001" s="17" t="s">
        <v>975</v>
      </c>
      <c r="F1001" s="17" t="s">
        <v>635</v>
      </c>
      <c r="G1001" s="20">
        <f>35.5-1</f>
        <v>34.5</v>
      </c>
    </row>
    <row r="1002" spans="1:17" s="68" customFormat="1" ht="24" hidden="1">
      <c r="A1002" s="18" t="s">
        <v>143</v>
      </c>
      <c r="B1002" s="53" t="s">
        <v>1180</v>
      </c>
      <c r="C1002" s="17" t="s">
        <v>1337</v>
      </c>
      <c r="D1002" s="17" t="s">
        <v>1340</v>
      </c>
      <c r="E1002" s="17" t="s">
        <v>975</v>
      </c>
      <c r="F1002" s="17" t="s">
        <v>144</v>
      </c>
      <c r="G1002" s="20">
        <v>35.5</v>
      </c>
      <c r="J1002" s="86"/>
      <c r="K1002" s="86"/>
      <c r="L1002" s="86"/>
      <c r="M1002" s="86"/>
      <c r="N1002" s="86"/>
      <c r="O1002" s="86"/>
      <c r="P1002" s="86"/>
      <c r="Q1002" s="86"/>
    </row>
    <row r="1003" spans="1:7" ht="24">
      <c r="A1003" s="18" t="s">
        <v>1014</v>
      </c>
      <c r="B1003" s="53" t="s">
        <v>1180</v>
      </c>
      <c r="C1003" s="17" t="s">
        <v>1337</v>
      </c>
      <c r="D1003" s="17" t="s">
        <v>1340</v>
      </c>
      <c r="E1003" s="17" t="s">
        <v>976</v>
      </c>
      <c r="F1003" s="17" t="s">
        <v>1204</v>
      </c>
      <c r="G1003" s="19">
        <f>G1004+G1006</f>
        <v>13.9</v>
      </c>
    </row>
    <row r="1004" spans="1:7" ht="24">
      <c r="A1004" s="18" t="s">
        <v>742</v>
      </c>
      <c r="B1004" s="53" t="s">
        <v>1180</v>
      </c>
      <c r="C1004" s="17" t="s">
        <v>1337</v>
      </c>
      <c r="D1004" s="17" t="s">
        <v>1340</v>
      </c>
      <c r="E1004" s="17" t="s">
        <v>976</v>
      </c>
      <c r="F1004" s="17" t="s">
        <v>402</v>
      </c>
      <c r="G1004" s="19">
        <f>G1005</f>
        <v>0.4</v>
      </c>
    </row>
    <row r="1005" spans="1:7" ht="24">
      <c r="A1005" s="18" t="s">
        <v>743</v>
      </c>
      <c r="B1005" s="53" t="s">
        <v>1180</v>
      </c>
      <c r="C1005" s="17" t="s">
        <v>1337</v>
      </c>
      <c r="D1005" s="17" t="s">
        <v>1340</v>
      </c>
      <c r="E1005" s="17" t="s">
        <v>976</v>
      </c>
      <c r="F1005" s="17" t="s">
        <v>1333</v>
      </c>
      <c r="G1005" s="20">
        <v>0.4</v>
      </c>
    </row>
    <row r="1006" spans="1:7" ht="24">
      <c r="A1006" s="158" t="s">
        <v>405</v>
      </c>
      <c r="B1006" s="53" t="s">
        <v>1180</v>
      </c>
      <c r="C1006" s="17" t="s">
        <v>1337</v>
      </c>
      <c r="D1006" s="17" t="s">
        <v>1340</v>
      </c>
      <c r="E1006" s="17" t="s">
        <v>976</v>
      </c>
      <c r="F1006" s="17" t="s">
        <v>406</v>
      </c>
      <c r="G1006" s="19">
        <f>G1007</f>
        <v>13.5</v>
      </c>
    </row>
    <row r="1007" spans="1:7" ht="24">
      <c r="A1007" s="36" t="s">
        <v>570</v>
      </c>
      <c r="B1007" s="53" t="s">
        <v>1180</v>
      </c>
      <c r="C1007" s="17" t="s">
        <v>1337</v>
      </c>
      <c r="D1007" s="17" t="s">
        <v>1340</v>
      </c>
      <c r="E1007" s="17" t="s">
        <v>976</v>
      </c>
      <c r="F1007" s="17" t="s">
        <v>635</v>
      </c>
      <c r="G1007" s="20">
        <f>13.9-0.4</f>
        <v>13.5</v>
      </c>
    </row>
    <row r="1008" spans="1:7" ht="24" hidden="1">
      <c r="A1008" s="18" t="s">
        <v>143</v>
      </c>
      <c r="B1008" s="53" t="s">
        <v>1180</v>
      </c>
      <c r="C1008" s="17" t="s">
        <v>1337</v>
      </c>
      <c r="D1008" s="17" t="s">
        <v>1340</v>
      </c>
      <c r="E1008" s="17" t="s">
        <v>976</v>
      </c>
      <c r="F1008" s="17" t="s">
        <v>144</v>
      </c>
      <c r="G1008" s="20">
        <v>13.9</v>
      </c>
    </row>
    <row r="1009" spans="1:7" ht="24">
      <c r="A1009" s="18" t="s">
        <v>953</v>
      </c>
      <c r="B1009" s="53" t="s">
        <v>1180</v>
      </c>
      <c r="C1009" s="17" t="s">
        <v>1337</v>
      </c>
      <c r="D1009" s="17" t="s">
        <v>1340</v>
      </c>
      <c r="E1009" s="17" t="s">
        <v>977</v>
      </c>
      <c r="F1009" s="17" t="s">
        <v>1204</v>
      </c>
      <c r="G1009" s="19">
        <f>G1010+G1012</f>
        <v>2373.5</v>
      </c>
    </row>
    <row r="1010" spans="1:7" ht="24">
      <c r="A1010" s="18" t="s">
        <v>742</v>
      </c>
      <c r="B1010" s="53" t="s">
        <v>1180</v>
      </c>
      <c r="C1010" s="17" t="s">
        <v>1337</v>
      </c>
      <c r="D1010" s="17" t="s">
        <v>1340</v>
      </c>
      <c r="E1010" s="17" t="s">
        <v>977</v>
      </c>
      <c r="F1010" s="17" t="s">
        <v>402</v>
      </c>
      <c r="G1010" s="19">
        <f>G1011</f>
        <v>67.5</v>
      </c>
    </row>
    <row r="1011" spans="1:7" ht="24">
      <c r="A1011" s="18" t="s">
        <v>743</v>
      </c>
      <c r="B1011" s="53" t="s">
        <v>1180</v>
      </c>
      <c r="C1011" s="17" t="s">
        <v>1337</v>
      </c>
      <c r="D1011" s="17" t="s">
        <v>1340</v>
      </c>
      <c r="E1011" s="17" t="s">
        <v>977</v>
      </c>
      <c r="F1011" s="17" t="s">
        <v>1333</v>
      </c>
      <c r="G1011" s="20">
        <v>67.5</v>
      </c>
    </row>
    <row r="1012" spans="1:7" ht="24">
      <c r="A1012" s="158" t="s">
        <v>405</v>
      </c>
      <c r="B1012" s="53" t="s">
        <v>1180</v>
      </c>
      <c r="C1012" s="17" t="s">
        <v>1337</v>
      </c>
      <c r="D1012" s="17" t="s">
        <v>1340</v>
      </c>
      <c r="E1012" s="17" t="s">
        <v>977</v>
      </c>
      <c r="F1012" s="17" t="s">
        <v>406</v>
      </c>
      <c r="G1012" s="19">
        <f>G1013</f>
        <v>2306</v>
      </c>
    </row>
    <row r="1013" spans="1:7" ht="24">
      <c r="A1013" s="36" t="s">
        <v>570</v>
      </c>
      <c r="B1013" s="53" t="s">
        <v>1180</v>
      </c>
      <c r="C1013" s="17" t="s">
        <v>1337</v>
      </c>
      <c r="D1013" s="17" t="s">
        <v>1340</v>
      </c>
      <c r="E1013" s="17" t="s">
        <v>977</v>
      </c>
      <c r="F1013" s="17" t="s">
        <v>635</v>
      </c>
      <c r="G1013" s="20">
        <f>2317.5-67.5+56</f>
        <v>2306</v>
      </c>
    </row>
    <row r="1014" spans="1:7" ht="24" hidden="1">
      <c r="A1014" s="18" t="s">
        <v>143</v>
      </c>
      <c r="B1014" s="53" t="s">
        <v>1180</v>
      </c>
      <c r="C1014" s="17" t="s">
        <v>1337</v>
      </c>
      <c r="D1014" s="17" t="s">
        <v>1340</v>
      </c>
      <c r="E1014" s="17" t="s">
        <v>977</v>
      </c>
      <c r="F1014" s="17" t="s">
        <v>144</v>
      </c>
      <c r="G1014" s="20">
        <v>2317.5</v>
      </c>
    </row>
    <row r="1015" spans="1:7" ht="36">
      <c r="A1015" s="18" t="s">
        <v>14</v>
      </c>
      <c r="B1015" s="53" t="s">
        <v>1180</v>
      </c>
      <c r="C1015" s="17" t="s">
        <v>1337</v>
      </c>
      <c r="D1015" s="17" t="s">
        <v>1340</v>
      </c>
      <c r="E1015" s="17" t="s">
        <v>978</v>
      </c>
      <c r="F1015" s="17" t="s">
        <v>1204</v>
      </c>
      <c r="G1015" s="19">
        <f>G1016+G1018</f>
        <v>605.5</v>
      </c>
    </row>
    <row r="1016" spans="1:7" ht="24">
      <c r="A1016" s="18" t="s">
        <v>742</v>
      </c>
      <c r="B1016" s="53" t="s">
        <v>1180</v>
      </c>
      <c r="C1016" s="17" t="s">
        <v>1337</v>
      </c>
      <c r="D1016" s="17" t="s">
        <v>1340</v>
      </c>
      <c r="E1016" s="17" t="s">
        <v>978</v>
      </c>
      <c r="F1016" s="17" t="s">
        <v>402</v>
      </c>
      <c r="G1016" s="19">
        <f>G1017</f>
        <v>1</v>
      </c>
    </row>
    <row r="1017" spans="1:7" ht="24">
      <c r="A1017" s="18" t="s">
        <v>743</v>
      </c>
      <c r="B1017" s="53" t="s">
        <v>1180</v>
      </c>
      <c r="C1017" s="17" t="s">
        <v>1337</v>
      </c>
      <c r="D1017" s="17" t="s">
        <v>1340</v>
      </c>
      <c r="E1017" s="17" t="s">
        <v>978</v>
      </c>
      <c r="F1017" s="17" t="s">
        <v>1333</v>
      </c>
      <c r="G1017" s="20">
        <v>1</v>
      </c>
    </row>
    <row r="1018" spans="1:7" ht="24">
      <c r="A1018" s="158" t="s">
        <v>405</v>
      </c>
      <c r="B1018" s="53" t="s">
        <v>1180</v>
      </c>
      <c r="C1018" s="17" t="s">
        <v>1337</v>
      </c>
      <c r="D1018" s="17" t="s">
        <v>1340</v>
      </c>
      <c r="E1018" s="17" t="s">
        <v>978</v>
      </c>
      <c r="F1018" s="17" t="s">
        <v>406</v>
      </c>
      <c r="G1018" s="19">
        <f>G1019</f>
        <v>604.5</v>
      </c>
    </row>
    <row r="1019" spans="1:7" ht="24">
      <c r="A1019" s="36" t="s">
        <v>570</v>
      </c>
      <c r="B1019" s="53" t="s">
        <v>1180</v>
      </c>
      <c r="C1019" s="17" t="s">
        <v>1337</v>
      </c>
      <c r="D1019" s="17" t="s">
        <v>1340</v>
      </c>
      <c r="E1019" s="17" t="s">
        <v>978</v>
      </c>
      <c r="F1019" s="17" t="s">
        <v>635</v>
      </c>
      <c r="G1019" s="20">
        <f>196.5+408</f>
        <v>604.5</v>
      </c>
    </row>
    <row r="1020" spans="1:7" ht="24" hidden="1">
      <c r="A1020" s="18" t="s">
        <v>143</v>
      </c>
      <c r="B1020" s="53" t="s">
        <v>1180</v>
      </c>
      <c r="C1020" s="17" t="s">
        <v>1337</v>
      </c>
      <c r="D1020" s="17" t="s">
        <v>1340</v>
      </c>
      <c r="E1020" s="17" t="s">
        <v>978</v>
      </c>
      <c r="F1020" s="17" t="s">
        <v>144</v>
      </c>
      <c r="G1020" s="20">
        <v>32.4</v>
      </c>
    </row>
    <row r="1021" spans="1:7" ht="24">
      <c r="A1021" s="18" t="s">
        <v>238</v>
      </c>
      <c r="B1021" s="53" t="s">
        <v>1180</v>
      </c>
      <c r="C1021" s="17" t="s">
        <v>1337</v>
      </c>
      <c r="D1021" s="17" t="s">
        <v>1340</v>
      </c>
      <c r="E1021" s="17" t="s">
        <v>979</v>
      </c>
      <c r="F1021" s="17" t="s">
        <v>1204</v>
      </c>
      <c r="G1021" s="19">
        <f>G1022</f>
        <v>300</v>
      </c>
    </row>
    <row r="1022" spans="1:7" ht="24">
      <c r="A1022" s="158" t="s">
        <v>405</v>
      </c>
      <c r="B1022" s="53" t="s">
        <v>1180</v>
      </c>
      <c r="C1022" s="17" t="s">
        <v>1337</v>
      </c>
      <c r="D1022" s="17" t="s">
        <v>1340</v>
      </c>
      <c r="E1022" s="17" t="s">
        <v>979</v>
      </c>
      <c r="F1022" s="17" t="s">
        <v>406</v>
      </c>
      <c r="G1022" s="19">
        <f>G1023</f>
        <v>300</v>
      </c>
    </row>
    <row r="1023" spans="1:7" ht="24">
      <c r="A1023" s="36" t="s">
        <v>570</v>
      </c>
      <c r="B1023" s="53" t="s">
        <v>1180</v>
      </c>
      <c r="C1023" s="17" t="s">
        <v>1337</v>
      </c>
      <c r="D1023" s="17" t="s">
        <v>1340</v>
      </c>
      <c r="E1023" s="17" t="s">
        <v>979</v>
      </c>
      <c r="F1023" s="17" t="s">
        <v>635</v>
      </c>
      <c r="G1023" s="20">
        <v>300</v>
      </c>
    </row>
    <row r="1024" spans="1:7" ht="24" hidden="1">
      <c r="A1024" s="18" t="s">
        <v>143</v>
      </c>
      <c r="B1024" s="53" t="s">
        <v>1180</v>
      </c>
      <c r="C1024" s="17" t="s">
        <v>1337</v>
      </c>
      <c r="D1024" s="17" t="s">
        <v>1340</v>
      </c>
      <c r="E1024" s="17" t="s">
        <v>979</v>
      </c>
      <c r="F1024" s="17" t="s">
        <v>144</v>
      </c>
      <c r="G1024" s="20">
        <v>300</v>
      </c>
    </row>
    <row r="1025" spans="1:7" ht="24">
      <c r="A1025" s="18" t="s">
        <v>1361</v>
      </c>
      <c r="B1025" s="53" t="s">
        <v>1180</v>
      </c>
      <c r="C1025" s="17" t="s">
        <v>1337</v>
      </c>
      <c r="D1025" s="17" t="s">
        <v>1340</v>
      </c>
      <c r="E1025" s="17" t="s">
        <v>980</v>
      </c>
      <c r="F1025" s="17" t="s">
        <v>1204</v>
      </c>
      <c r="G1025" s="19">
        <f>G1026+G1028</f>
        <v>5000.9</v>
      </c>
    </row>
    <row r="1026" spans="1:7" ht="24">
      <c r="A1026" s="18" t="s">
        <v>742</v>
      </c>
      <c r="B1026" s="53" t="s">
        <v>1180</v>
      </c>
      <c r="C1026" s="17" t="s">
        <v>1337</v>
      </c>
      <c r="D1026" s="17" t="s">
        <v>1340</v>
      </c>
      <c r="E1026" s="17" t="s">
        <v>980</v>
      </c>
      <c r="F1026" s="17" t="s">
        <v>402</v>
      </c>
      <c r="G1026" s="19">
        <f>G1027</f>
        <v>20</v>
      </c>
    </row>
    <row r="1027" spans="1:7" ht="24">
      <c r="A1027" s="18" t="s">
        <v>743</v>
      </c>
      <c r="B1027" s="53" t="s">
        <v>1180</v>
      </c>
      <c r="C1027" s="17" t="s">
        <v>1337</v>
      </c>
      <c r="D1027" s="17" t="s">
        <v>1340</v>
      </c>
      <c r="E1027" s="17" t="s">
        <v>980</v>
      </c>
      <c r="F1027" s="17" t="s">
        <v>1333</v>
      </c>
      <c r="G1027" s="20">
        <v>20</v>
      </c>
    </row>
    <row r="1028" spans="1:7" ht="24">
      <c r="A1028" s="158" t="s">
        <v>405</v>
      </c>
      <c r="B1028" s="53" t="s">
        <v>1180</v>
      </c>
      <c r="C1028" s="17" t="s">
        <v>1337</v>
      </c>
      <c r="D1028" s="17" t="s">
        <v>1340</v>
      </c>
      <c r="E1028" s="17" t="s">
        <v>980</v>
      </c>
      <c r="F1028" s="17" t="s">
        <v>406</v>
      </c>
      <c r="G1028" s="19">
        <f>G1029</f>
        <v>4980.9</v>
      </c>
    </row>
    <row r="1029" spans="1:7" ht="24">
      <c r="A1029" s="36" t="s">
        <v>570</v>
      </c>
      <c r="B1029" s="53" t="s">
        <v>1180</v>
      </c>
      <c r="C1029" s="17" t="s">
        <v>1337</v>
      </c>
      <c r="D1029" s="17" t="s">
        <v>1340</v>
      </c>
      <c r="E1029" s="17" t="s">
        <v>980</v>
      </c>
      <c r="F1029" s="17" t="s">
        <v>635</v>
      </c>
      <c r="G1029" s="20">
        <f>4007.6+313.3+600+60</f>
        <v>4980.9</v>
      </c>
    </row>
    <row r="1030" spans="1:7" ht="24">
      <c r="A1030" s="18" t="s">
        <v>665</v>
      </c>
      <c r="B1030" s="53" t="s">
        <v>1180</v>
      </c>
      <c r="C1030" s="17" t="s">
        <v>1337</v>
      </c>
      <c r="D1030" s="17" t="s">
        <v>1340</v>
      </c>
      <c r="E1030" s="17" t="s">
        <v>666</v>
      </c>
      <c r="F1030" s="17" t="s">
        <v>406</v>
      </c>
      <c r="G1030" s="19">
        <f>G1031</f>
        <v>421.9</v>
      </c>
    </row>
    <row r="1031" spans="1:7" ht="24">
      <c r="A1031" s="36" t="s">
        <v>570</v>
      </c>
      <c r="B1031" s="53" t="s">
        <v>1180</v>
      </c>
      <c r="C1031" s="17" t="s">
        <v>1337</v>
      </c>
      <c r="D1031" s="17" t="s">
        <v>1340</v>
      </c>
      <c r="E1031" s="17" t="s">
        <v>666</v>
      </c>
      <c r="F1031" s="17" t="s">
        <v>635</v>
      </c>
      <c r="G1031" s="20">
        <v>421.9</v>
      </c>
    </row>
    <row r="1032" spans="1:7" ht="24">
      <c r="A1032" s="18" t="s">
        <v>1410</v>
      </c>
      <c r="B1032" s="53" t="s">
        <v>1180</v>
      </c>
      <c r="C1032" s="17" t="s">
        <v>1337</v>
      </c>
      <c r="D1032" s="17" t="s">
        <v>1340</v>
      </c>
      <c r="E1032" s="17" t="s">
        <v>981</v>
      </c>
      <c r="F1032" s="17" t="s">
        <v>1204</v>
      </c>
      <c r="G1032" s="19">
        <f>G1033+G1035</f>
        <v>3000</v>
      </c>
    </row>
    <row r="1033" spans="1:7" ht="24">
      <c r="A1033" s="18" t="s">
        <v>742</v>
      </c>
      <c r="B1033" s="53" t="s">
        <v>1180</v>
      </c>
      <c r="C1033" s="17" t="s">
        <v>1337</v>
      </c>
      <c r="D1033" s="17" t="s">
        <v>1340</v>
      </c>
      <c r="E1033" s="17" t="s">
        <v>981</v>
      </c>
      <c r="F1033" s="17" t="s">
        <v>402</v>
      </c>
      <c r="G1033" s="19">
        <f>G1034</f>
        <v>50</v>
      </c>
    </row>
    <row r="1034" spans="1:7" ht="24">
      <c r="A1034" s="18" t="s">
        <v>743</v>
      </c>
      <c r="B1034" s="53" t="s">
        <v>1180</v>
      </c>
      <c r="C1034" s="17" t="s">
        <v>1337</v>
      </c>
      <c r="D1034" s="17" t="s">
        <v>1340</v>
      </c>
      <c r="E1034" s="17" t="s">
        <v>981</v>
      </c>
      <c r="F1034" s="17" t="s">
        <v>1333</v>
      </c>
      <c r="G1034" s="20">
        <v>50</v>
      </c>
    </row>
    <row r="1035" spans="1:7" ht="24">
      <c r="A1035" s="158" t="s">
        <v>405</v>
      </c>
      <c r="B1035" s="53" t="s">
        <v>1180</v>
      </c>
      <c r="C1035" s="17" t="s">
        <v>1337</v>
      </c>
      <c r="D1035" s="17" t="s">
        <v>1340</v>
      </c>
      <c r="E1035" s="17" t="s">
        <v>981</v>
      </c>
      <c r="F1035" s="17" t="s">
        <v>406</v>
      </c>
      <c r="G1035" s="19">
        <f>G1036</f>
        <v>2950</v>
      </c>
    </row>
    <row r="1036" spans="1:7" ht="24">
      <c r="A1036" s="36" t="s">
        <v>570</v>
      </c>
      <c r="B1036" s="53" t="s">
        <v>1180</v>
      </c>
      <c r="C1036" s="17" t="s">
        <v>1337</v>
      </c>
      <c r="D1036" s="17" t="s">
        <v>1340</v>
      </c>
      <c r="E1036" s="17" t="s">
        <v>981</v>
      </c>
      <c r="F1036" s="17" t="s">
        <v>635</v>
      </c>
      <c r="G1036" s="20">
        <v>2950</v>
      </c>
    </row>
    <row r="1037" spans="1:7" ht="24" hidden="1">
      <c r="A1037" s="18" t="s">
        <v>143</v>
      </c>
      <c r="B1037" s="53" t="s">
        <v>1180</v>
      </c>
      <c r="C1037" s="17" t="s">
        <v>1337</v>
      </c>
      <c r="D1037" s="17" t="s">
        <v>1340</v>
      </c>
      <c r="E1037" s="17" t="s">
        <v>981</v>
      </c>
      <c r="F1037" s="17" t="s">
        <v>144</v>
      </c>
      <c r="G1037" s="20">
        <v>3000</v>
      </c>
    </row>
    <row r="1038" spans="1:7" ht="60">
      <c r="A1038" s="132" t="s">
        <v>913</v>
      </c>
      <c r="B1038" s="53" t="s">
        <v>1180</v>
      </c>
      <c r="C1038" s="17" t="s">
        <v>1337</v>
      </c>
      <c r="D1038" s="17" t="s">
        <v>1340</v>
      </c>
      <c r="E1038" s="17" t="s">
        <v>982</v>
      </c>
      <c r="F1038" s="17" t="s">
        <v>1204</v>
      </c>
      <c r="G1038" s="19">
        <f>G1039</f>
        <v>1270</v>
      </c>
    </row>
    <row r="1039" spans="1:7" ht="24">
      <c r="A1039" s="158" t="s">
        <v>405</v>
      </c>
      <c r="B1039" s="53" t="s">
        <v>1180</v>
      </c>
      <c r="C1039" s="17" t="s">
        <v>1337</v>
      </c>
      <c r="D1039" s="17" t="s">
        <v>1340</v>
      </c>
      <c r="E1039" s="17" t="s">
        <v>982</v>
      </c>
      <c r="F1039" s="17" t="s">
        <v>406</v>
      </c>
      <c r="G1039" s="19">
        <f>G1040</f>
        <v>1270</v>
      </c>
    </row>
    <row r="1040" spans="1:7" ht="24">
      <c r="A1040" s="18" t="s">
        <v>873</v>
      </c>
      <c r="B1040" s="53" t="s">
        <v>1180</v>
      </c>
      <c r="C1040" s="17" t="s">
        <v>1337</v>
      </c>
      <c r="D1040" s="17" t="s">
        <v>1340</v>
      </c>
      <c r="E1040" s="17" t="s">
        <v>982</v>
      </c>
      <c r="F1040" s="17" t="s">
        <v>1015</v>
      </c>
      <c r="G1040" s="20">
        <v>1270</v>
      </c>
    </row>
    <row r="1041" spans="1:7" ht="15" hidden="1">
      <c r="A1041" s="18" t="s">
        <v>421</v>
      </c>
      <c r="B1041" s="53" t="s">
        <v>1180</v>
      </c>
      <c r="C1041" s="17" t="s">
        <v>1337</v>
      </c>
      <c r="D1041" s="17" t="s">
        <v>1340</v>
      </c>
      <c r="E1041" s="17" t="s">
        <v>982</v>
      </c>
      <c r="F1041" s="17" t="s">
        <v>422</v>
      </c>
      <c r="G1041" s="20">
        <v>1270</v>
      </c>
    </row>
    <row r="1042" spans="1:7" ht="24">
      <c r="A1042" s="18" t="s">
        <v>237</v>
      </c>
      <c r="B1042" s="53" t="s">
        <v>1180</v>
      </c>
      <c r="C1042" s="17" t="s">
        <v>1337</v>
      </c>
      <c r="D1042" s="17" t="s">
        <v>1340</v>
      </c>
      <c r="E1042" s="17" t="s">
        <v>63</v>
      </c>
      <c r="F1042" s="17" t="s">
        <v>1204</v>
      </c>
      <c r="G1042" s="19">
        <f>G1043</f>
        <v>4000</v>
      </c>
    </row>
    <row r="1043" spans="1:7" ht="24">
      <c r="A1043" s="158" t="s">
        <v>405</v>
      </c>
      <c r="B1043" s="53" t="s">
        <v>1180</v>
      </c>
      <c r="C1043" s="17" t="s">
        <v>1337</v>
      </c>
      <c r="D1043" s="17" t="s">
        <v>1340</v>
      </c>
      <c r="E1043" s="17" t="s">
        <v>63</v>
      </c>
      <c r="F1043" s="17" t="s">
        <v>406</v>
      </c>
      <c r="G1043" s="19">
        <f>G1044</f>
        <v>4000</v>
      </c>
    </row>
    <row r="1044" spans="1:7" ht="24">
      <c r="A1044" s="36" t="s">
        <v>570</v>
      </c>
      <c r="B1044" s="53" t="s">
        <v>1180</v>
      </c>
      <c r="C1044" s="17" t="s">
        <v>1337</v>
      </c>
      <c r="D1044" s="17" t="s">
        <v>1340</v>
      </c>
      <c r="E1044" s="17" t="s">
        <v>63</v>
      </c>
      <c r="F1044" s="17" t="s">
        <v>635</v>
      </c>
      <c r="G1044" s="20">
        <v>4000</v>
      </c>
    </row>
    <row r="1045" spans="1:7" ht="24" hidden="1">
      <c r="A1045" s="18" t="s">
        <v>143</v>
      </c>
      <c r="B1045" s="53" t="s">
        <v>1180</v>
      </c>
      <c r="C1045" s="17" t="s">
        <v>1337</v>
      </c>
      <c r="D1045" s="17" t="s">
        <v>1340</v>
      </c>
      <c r="E1045" s="17" t="s">
        <v>63</v>
      </c>
      <c r="F1045" s="17" t="s">
        <v>144</v>
      </c>
      <c r="G1045" s="20">
        <v>4000</v>
      </c>
    </row>
    <row r="1046" spans="1:7" ht="36">
      <c r="A1046" s="18" t="s">
        <v>796</v>
      </c>
      <c r="B1046" s="53" t="s">
        <v>1180</v>
      </c>
      <c r="C1046" s="17" t="s">
        <v>1337</v>
      </c>
      <c r="D1046" s="17" t="s">
        <v>1340</v>
      </c>
      <c r="E1046" s="17" t="s">
        <v>1216</v>
      </c>
      <c r="F1046" s="17" t="s">
        <v>1204</v>
      </c>
      <c r="G1046" s="19">
        <f>G1047</f>
        <v>1462.3</v>
      </c>
    </row>
    <row r="1047" spans="1:7" ht="24">
      <c r="A1047" s="129" t="s">
        <v>405</v>
      </c>
      <c r="B1047" s="53" t="s">
        <v>1180</v>
      </c>
      <c r="C1047" s="17" t="s">
        <v>1337</v>
      </c>
      <c r="D1047" s="17" t="s">
        <v>1340</v>
      </c>
      <c r="E1047" s="17" t="s">
        <v>1216</v>
      </c>
      <c r="F1047" s="17" t="s">
        <v>406</v>
      </c>
      <c r="G1047" s="19">
        <f>G1048</f>
        <v>1462.3</v>
      </c>
    </row>
    <row r="1048" spans="1:7" ht="24">
      <c r="A1048" s="36" t="s">
        <v>570</v>
      </c>
      <c r="B1048" s="53" t="s">
        <v>1180</v>
      </c>
      <c r="C1048" s="17" t="s">
        <v>1337</v>
      </c>
      <c r="D1048" s="17" t="s">
        <v>1340</v>
      </c>
      <c r="E1048" s="17" t="s">
        <v>1216</v>
      </c>
      <c r="F1048" s="17" t="s">
        <v>635</v>
      </c>
      <c r="G1048" s="20">
        <v>1462.3</v>
      </c>
    </row>
    <row r="1049" spans="1:7" ht="24">
      <c r="A1049" s="18" t="s">
        <v>1159</v>
      </c>
      <c r="B1049" s="53" t="s">
        <v>1180</v>
      </c>
      <c r="C1049" s="17" t="s">
        <v>1337</v>
      </c>
      <c r="D1049" s="17" t="s">
        <v>1340</v>
      </c>
      <c r="E1049" s="17" t="s">
        <v>64</v>
      </c>
      <c r="F1049" s="17" t="s">
        <v>1204</v>
      </c>
      <c r="G1049" s="19">
        <f>G1050+G1052</f>
        <v>24457.999999999996</v>
      </c>
    </row>
    <row r="1050" spans="1:7" ht="24">
      <c r="A1050" s="18" t="s">
        <v>742</v>
      </c>
      <c r="B1050" s="53" t="s">
        <v>1180</v>
      </c>
      <c r="C1050" s="17" t="s">
        <v>1337</v>
      </c>
      <c r="D1050" s="17" t="s">
        <v>1340</v>
      </c>
      <c r="E1050" s="17" t="s">
        <v>64</v>
      </c>
      <c r="F1050" s="17" t="s">
        <v>402</v>
      </c>
      <c r="G1050" s="19">
        <f>G1051</f>
        <v>182.00000000000003</v>
      </c>
    </row>
    <row r="1051" spans="1:7" ht="24">
      <c r="A1051" s="18" t="s">
        <v>743</v>
      </c>
      <c r="B1051" s="53" t="s">
        <v>1180</v>
      </c>
      <c r="C1051" s="17" t="s">
        <v>1337</v>
      </c>
      <c r="D1051" s="17" t="s">
        <v>1340</v>
      </c>
      <c r="E1051" s="17" t="s">
        <v>64</v>
      </c>
      <c r="F1051" s="17" t="s">
        <v>1333</v>
      </c>
      <c r="G1051" s="20">
        <f>156.8+17.9-0.1+7.4</f>
        <v>182.00000000000003</v>
      </c>
    </row>
    <row r="1052" spans="1:7" ht="24">
      <c r="A1052" s="158" t="s">
        <v>405</v>
      </c>
      <c r="B1052" s="53" t="s">
        <v>1180</v>
      </c>
      <c r="C1052" s="17" t="s">
        <v>1337</v>
      </c>
      <c r="D1052" s="17" t="s">
        <v>1340</v>
      </c>
      <c r="E1052" s="17" t="s">
        <v>64</v>
      </c>
      <c r="F1052" s="17" t="s">
        <v>406</v>
      </c>
      <c r="G1052" s="19">
        <f>G1053</f>
        <v>24275.999999999996</v>
      </c>
    </row>
    <row r="1053" spans="1:7" ht="24">
      <c r="A1053" s="18" t="s">
        <v>873</v>
      </c>
      <c r="B1053" s="53" t="s">
        <v>1180</v>
      </c>
      <c r="C1053" s="17" t="s">
        <v>1337</v>
      </c>
      <c r="D1053" s="17" t="s">
        <v>1340</v>
      </c>
      <c r="E1053" s="17" t="s">
        <v>64</v>
      </c>
      <c r="F1053" s="17" t="s">
        <v>1015</v>
      </c>
      <c r="G1053" s="20">
        <f>21058-156.8+2382.1+992.6+0.1</f>
        <v>24275.999999999996</v>
      </c>
    </row>
    <row r="1054" spans="1:7" ht="24" hidden="1">
      <c r="A1054" s="18" t="s">
        <v>571</v>
      </c>
      <c r="B1054" s="53" t="s">
        <v>1180</v>
      </c>
      <c r="C1054" s="17" t="s">
        <v>1337</v>
      </c>
      <c r="D1054" s="17" t="s">
        <v>1340</v>
      </c>
      <c r="E1054" s="17" t="s">
        <v>64</v>
      </c>
      <c r="F1054" s="17" t="s">
        <v>572</v>
      </c>
      <c r="G1054" s="20">
        <v>21058</v>
      </c>
    </row>
    <row r="1055" spans="1:7" ht="24">
      <c r="A1055" s="18" t="s">
        <v>65</v>
      </c>
      <c r="B1055" s="53" t="s">
        <v>1180</v>
      </c>
      <c r="C1055" s="17" t="s">
        <v>1337</v>
      </c>
      <c r="D1055" s="17" t="s">
        <v>1340</v>
      </c>
      <c r="E1055" s="17" t="s">
        <v>1087</v>
      </c>
      <c r="F1055" s="17"/>
      <c r="G1055" s="19">
        <f>G1056</f>
        <v>500</v>
      </c>
    </row>
    <row r="1056" spans="1:7" ht="24">
      <c r="A1056" s="18" t="s">
        <v>759</v>
      </c>
      <c r="B1056" s="53" t="s">
        <v>1180</v>
      </c>
      <c r="C1056" s="17" t="s">
        <v>1337</v>
      </c>
      <c r="D1056" s="17" t="s">
        <v>1340</v>
      </c>
      <c r="E1056" s="17" t="s">
        <v>1088</v>
      </c>
      <c r="F1056" s="17" t="s">
        <v>1204</v>
      </c>
      <c r="G1056" s="19">
        <f>G1057</f>
        <v>500</v>
      </c>
    </row>
    <row r="1057" spans="1:7" ht="24">
      <c r="A1057" s="242" t="s">
        <v>405</v>
      </c>
      <c r="B1057" s="53" t="s">
        <v>1180</v>
      </c>
      <c r="C1057" s="17" t="s">
        <v>1337</v>
      </c>
      <c r="D1057" s="17" t="s">
        <v>1340</v>
      </c>
      <c r="E1057" s="17" t="s">
        <v>1088</v>
      </c>
      <c r="F1057" s="17" t="s">
        <v>406</v>
      </c>
      <c r="G1057" s="19">
        <f>G1058</f>
        <v>500</v>
      </c>
    </row>
    <row r="1058" spans="1:7" ht="24.75" customHeight="1">
      <c r="A1058" s="36" t="s">
        <v>570</v>
      </c>
      <c r="B1058" s="53" t="s">
        <v>1180</v>
      </c>
      <c r="C1058" s="17" t="s">
        <v>1337</v>
      </c>
      <c r="D1058" s="17" t="s">
        <v>1340</v>
      </c>
      <c r="E1058" s="17" t="s">
        <v>1088</v>
      </c>
      <c r="F1058" s="17" t="s">
        <v>635</v>
      </c>
      <c r="G1058" s="20">
        <v>500</v>
      </c>
    </row>
    <row r="1059" spans="1:7" ht="24" hidden="1">
      <c r="A1059" s="33" t="s">
        <v>478</v>
      </c>
      <c r="B1059" s="53" t="s">
        <v>1180</v>
      </c>
      <c r="C1059" s="17" t="s">
        <v>1337</v>
      </c>
      <c r="D1059" s="17" t="s">
        <v>1340</v>
      </c>
      <c r="E1059" s="17" t="s">
        <v>778</v>
      </c>
      <c r="F1059" s="17"/>
      <c r="G1059" s="19">
        <f>G1060</f>
        <v>0</v>
      </c>
    </row>
    <row r="1060" spans="1:7" ht="24" hidden="1">
      <c r="A1060" s="18" t="s">
        <v>564</v>
      </c>
      <c r="B1060" s="53" t="s">
        <v>1180</v>
      </c>
      <c r="C1060" s="17" t="s">
        <v>1337</v>
      </c>
      <c r="D1060" s="17" t="s">
        <v>1340</v>
      </c>
      <c r="E1060" s="17" t="s">
        <v>777</v>
      </c>
      <c r="F1060" s="17"/>
      <c r="G1060" s="19">
        <f>G1061</f>
        <v>0</v>
      </c>
    </row>
    <row r="1061" spans="1:7" ht="36" hidden="1">
      <c r="A1061" s="132" t="s">
        <v>1354</v>
      </c>
      <c r="B1061" s="53" t="s">
        <v>1180</v>
      </c>
      <c r="C1061" s="17" t="s">
        <v>1337</v>
      </c>
      <c r="D1061" s="17" t="s">
        <v>1340</v>
      </c>
      <c r="E1061" s="17" t="s">
        <v>779</v>
      </c>
      <c r="F1061" s="17" t="s">
        <v>1204</v>
      </c>
      <c r="G1061" s="19">
        <f>G1062</f>
        <v>0</v>
      </c>
    </row>
    <row r="1062" spans="1:7" ht="15" hidden="1">
      <c r="A1062" s="158" t="s">
        <v>405</v>
      </c>
      <c r="B1062" s="53" t="s">
        <v>1180</v>
      </c>
      <c r="C1062" s="17" t="s">
        <v>1337</v>
      </c>
      <c r="D1062" s="17" t="s">
        <v>1340</v>
      </c>
      <c r="E1062" s="17" t="s">
        <v>779</v>
      </c>
      <c r="F1062" s="17" t="s">
        <v>406</v>
      </c>
      <c r="G1062" s="19">
        <f>G1063</f>
        <v>0</v>
      </c>
    </row>
    <row r="1063" spans="1:7" ht="24" hidden="1">
      <c r="A1063" s="18" t="s">
        <v>873</v>
      </c>
      <c r="B1063" s="53" t="s">
        <v>1180</v>
      </c>
      <c r="C1063" s="17" t="s">
        <v>1337</v>
      </c>
      <c r="D1063" s="17" t="s">
        <v>1340</v>
      </c>
      <c r="E1063" s="17" t="s">
        <v>779</v>
      </c>
      <c r="F1063" s="17" t="s">
        <v>1015</v>
      </c>
      <c r="G1063" s="20">
        <f>2221-2221</f>
        <v>0</v>
      </c>
    </row>
    <row r="1064" spans="1:7" ht="15" hidden="1">
      <c r="A1064" s="18" t="s">
        <v>984</v>
      </c>
      <c r="B1064" s="53" t="s">
        <v>1180</v>
      </c>
      <c r="C1064" s="17" t="s">
        <v>1337</v>
      </c>
      <c r="D1064" s="17" t="s">
        <v>1340</v>
      </c>
      <c r="E1064" s="17" t="s">
        <v>779</v>
      </c>
      <c r="F1064" s="17" t="s">
        <v>404</v>
      </c>
      <c r="G1064" s="20"/>
    </row>
    <row r="1065" spans="1:7" ht="24">
      <c r="A1065" s="33" t="s">
        <v>456</v>
      </c>
      <c r="B1065" s="53" t="s">
        <v>1180</v>
      </c>
      <c r="C1065" s="17" t="s">
        <v>1337</v>
      </c>
      <c r="D1065" s="17" t="s">
        <v>1340</v>
      </c>
      <c r="E1065" s="17" t="s">
        <v>1264</v>
      </c>
      <c r="F1065" s="17"/>
      <c r="G1065" s="85">
        <f>G1066+G1083+G1086+G1089+G1077+G1080</f>
        <v>12711.400000000001</v>
      </c>
    </row>
    <row r="1066" spans="1:7" ht="24">
      <c r="A1066" s="36" t="s">
        <v>1484</v>
      </c>
      <c r="B1066" s="53" t="s">
        <v>1180</v>
      </c>
      <c r="C1066" s="17" t="s">
        <v>1337</v>
      </c>
      <c r="D1066" s="17" t="s">
        <v>1340</v>
      </c>
      <c r="E1066" s="17" t="s">
        <v>1485</v>
      </c>
      <c r="F1066" s="17" t="s">
        <v>1204</v>
      </c>
      <c r="G1066" s="85">
        <f>G1067+G1070+G1073</f>
        <v>5260.200000000001</v>
      </c>
    </row>
    <row r="1067" spans="1:7" ht="24">
      <c r="A1067" s="158" t="s">
        <v>405</v>
      </c>
      <c r="B1067" s="53" t="s">
        <v>1180</v>
      </c>
      <c r="C1067" s="17" t="s">
        <v>1337</v>
      </c>
      <c r="D1067" s="17" t="s">
        <v>1340</v>
      </c>
      <c r="E1067" s="17" t="s">
        <v>1486</v>
      </c>
      <c r="F1067" s="17" t="s">
        <v>406</v>
      </c>
      <c r="G1067" s="85">
        <f>G1068</f>
        <v>3911</v>
      </c>
    </row>
    <row r="1068" spans="1:7" ht="24">
      <c r="A1068" s="18" t="s">
        <v>873</v>
      </c>
      <c r="B1068" s="53" t="s">
        <v>1180</v>
      </c>
      <c r="C1068" s="17" t="s">
        <v>1337</v>
      </c>
      <c r="D1068" s="17" t="s">
        <v>1340</v>
      </c>
      <c r="E1068" s="17" t="s">
        <v>1486</v>
      </c>
      <c r="F1068" s="17" t="s">
        <v>1015</v>
      </c>
      <c r="G1068" s="55">
        <f>3200+711</f>
        <v>3911</v>
      </c>
    </row>
    <row r="1069" spans="1:7" ht="15" hidden="1">
      <c r="A1069" s="18" t="s">
        <v>984</v>
      </c>
      <c r="B1069" s="53" t="s">
        <v>1180</v>
      </c>
      <c r="C1069" s="17" t="s">
        <v>1337</v>
      </c>
      <c r="D1069" s="17" t="s">
        <v>1340</v>
      </c>
      <c r="E1069" s="17" t="s">
        <v>1486</v>
      </c>
      <c r="F1069" s="17" t="s">
        <v>404</v>
      </c>
      <c r="G1069" s="55"/>
    </row>
    <row r="1070" spans="1:7" ht="48">
      <c r="A1070" s="18" t="s">
        <v>769</v>
      </c>
      <c r="B1070" s="53" t="s">
        <v>1180</v>
      </c>
      <c r="C1070" s="17" t="s">
        <v>1337</v>
      </c>
      <c r="D1070" s="17" t="s">
        <v>1340</v>
      </c>
      <c r="E1070" s="17" t="s">
        <v>768</v>
      </c>
      <c r="F1070" s="17" t="s">
        <v>1204</v>
      </c>
      <c r="G1070" s="85">
        <f>G1071</f>
        <v>967.6</v>
      </c>
    </row>
    <row r="1071" spans="1:7" ht="24">
      <c r="A1071" s="129" t="s">
        <v>405</v>
      </c>
      <c r="B1071" s="53" t="s">
        <v>1180</v>
      </c>
      <c r="C1071" s="17" t="s">
        <v>1337</v>
      </c>
      <c r="D1071" s="17" t="s">
        <v>1340</v>
      </c>
      <c r="E1071" s="17" t="s">
        <v>768</v>
      </c>
      <c r="F1071" s="17" t="s">
        <v>406</v>
      </c>
      <c r="G1071" s="85">
        <f>G1072</f>
        <v>967.6</v>
      </c>
    </row>
    <row r="1072" spans="1:7" ht="24">
      <c r="A1072" s="18" t="s">
        <v>873</v>
      </c>
      <c r="B1072" s="53" t="s">
        <v>1180</v>
      </c>
      <c r="C1072" s="17" t="s">
        <v>1337</v>
      </c>
      <c r="D1072" s="17" t="s">
        <v>1340</v>
      </c>
      <c r="E1072" s="17" t="s">
        <v>768</v>
      </c>
      <c r="F1072" s="17" t="s">
        <v>1015</v>
      </c>
      <c r="G1072" s="55">
        <v>967.6</v>
      </c>
    </row>
    <row r="1073" spans="1:7" ht="36">
      <c r="A1073" s="18" t="s">
        <v>770</v>
      </c>
      <c r="B1073" s="53" t="s">
        <v>1180</v>
      </c>
      <c r="C1073" s="17" t="s">
        <v>1337</v>
      </c>
      <c r="D1073" s="17" t="s">
        <v>1340</v>
      </c>
      <c r="E1073" s="17" t="s">
        <v>537</v>
      </c>
      <c r="F1073" s="17" t="s">
        <v>1204</v>
      </c>
      <c r="G1073" s="85">
        <f>G1074</f>
        <v>381.6</v>
      </c>
    </row>
    <row r="1074" spans="1:7" ht="24">
      <c r="A1074" s="129" t="s">
        <v>405</v>
      </c>
      <c r="B1074" s="53" t="s">
        <v>1180</v>
      </c>
      <c r="C1074" s="17" t="s">
        <v>1337</v>
      </c>
      <c r="D1074" s="17" t="s">
        <v>1340</v>
      </c>
      <c r="E1074" s="17" t="s">
        <v>537</v>
      </c>
      <c r="F1074" s="17" t="s">
        <v>406</v>
      </c>
      <c r="G1074" s="85">
        <f>G1075</f>
        <v>381.6</v>
      </c>
    </row>
    <row r="1075" spans="1:7" ht="24">
      <c r="A1075" s="18" t="s">
        <v>873</v>
      </c>
      <c r="B1075" s="53" t="s">
        <v>1180</v>
      </c>
      <c r="C1075" s="17" t="s">
        <v>1337</v>
      </c>
      <c r="D1075" s="17" t="s">
        <v>1340</v>
      </c>
      <c r="E1075" s="17" t="s">
        <v>537</v>
      </c>
      <c r="F1075" s="17" t="s">
        <v>1015</v>
      </c>
      <c r="G1075" s="55">
        <v>381.6</v>
      </c>
    </row>
    <row r="1076" spans="1:7" ht="15" hidden="1">
      <c r="A1076" s="18" t="s">
        <v>984</v>
      </c>
      <c r="B1076" s="53" t="s">
        <v>1180</v>
      </c>
      <c r="C1076" s="17" t="s">
        <v>1337</v>
      </c>
      <c r="D1076" s="17" t="s">
        <v>1340</v>
      </c>
      <c r="E1076" s="17" t="s">
        <v>473</v>
      </c>
      <c r="F1076" s="17" t="s">
        <v>404</v>
      </c>
      <c r="G1076" s="20"/>
    </row>
    <row r="1077" spans="1:7" ht="36">
      <c r="A1077" s="18" t="s">
        <v>1136</v>
      </c>
      <c r="B1077" s="53" t="s">
        <v>1180</v>
      </c>
      <c r="C1077" s="17" t="s">
        <v>1337</v>
      </c>
      <c r="D1077" s="17" t="s">
        <v>1340</v>
      </c>
      <c r="E1077" s="17" t="s">
        <v>537</v>
      </c>
      <c r="F1077" s="17" t="s">
        <v>1204</v>
      </c>
      <c r="G1077" s="19">
        <f>G1078</f>
        <v>1083</v>
      </c>
    </row>
    <row r="1078" spans="1:7" ht="24">
      <c r="A1078" s="129" t="s">
        <v>405</v>
      </c>
      <c r="B1078" s="53" t="s">
        <v>1180</v>
      </c>
      <c r="C1078" s="17" t="s">
        <v>1337</v>
      </c>
      <c r="D1078" s="17" t="s">
        <v>1340</v>
      </c>
      <c r="E1078" s="17" t="s">
        <v>537</v>
      </c>
      <c r="F1078" s="17" t="s">
        <v>406</v>
      </c>
      <c r="G1078" s="19">
        <f>G1079</f>
        <v>1083</v>
      </c>
    </row>
    <row r="1079" spans="1:7" ht="24">
      <c r="A1079" s="18" t="s">
        <v>873</v>
      </c>
      <c r="B1079" s="53"/>
      <c r="C1079" s="17" t="s">
        <v>1337</v>
      </c>
      <c r="D1079" s="17" t="s">
        <v>1340</v>
      </c>
      <c r="E1079" s="17" t="s">
        <v>537</v>
      </c>
      <c r="F1079" s="17" t="s">
        <v>1015</v>
      </c>
      <c r="G1079" s="20">
        <v>1083</v>
      </c>
    </row>
    <row r="1080" spans="1:7" ht="36">
      <c r="A1080" s="18" t="s">
        <v>1137</v>
      </c>
      <c r="B1080" s="53" t="s">
        <v>1180</v>
      </c>
      <c r="C1080" s="17" t="s">
        <v>1337</v>
      </c>
      <c r="D1080" s="17" t="s">
        <v>1340</v>
      </c>
      <c r="E1080" s="17" t="s">
        <v>768</v>
      </c>
      <c r="F1080" s="17" t="s">
        <v>1204</v>
      </c>
      <c r="G1080" s="19">
        <f>G1081</f>
        <v>2680</v>
      </c>
    </row>
    <row r="1081" spans="1:7" ht="24">
      <c r="A1081" s="129" t="s">
        <v>405</v>
      </c>
      <c r="B1081" s="53" t="s">
        <v>1180</v>
      </c>
      <c r="C1081" s="17" t="s">
        <v>1337</v>
      </c>
      <c r="D1081" s="17" t="s">
        <v>1340</v>
      </c>
      <c r="E1081" s="17" t="s">
        <v>768</v>
      </c>
      <c r="F1081" s="17" t="s">
        <v>406</v>
      </c>
      <c r="G1081" s="19">
        <f>G1082</f>
        <v>2680</v>
      </c>
    </row>
    <row r="1082" spans="1:7" ht="24">
      <c r="A1082" s="18" t="s">
        <v>873</v>
      </c>
      <c r="B1082" s="53" t="s">
        <v>1180</v>
      </c>
      <c r="C1082" s="17" t="s">
        <v>1337</v>
      </c>
      <c r="D1082" s="17" t="s">
        <v>1340</v>
      </c>
      <c r="E1082" s="17" t="s">
        <v>768</v>
      </c>
      <c r="F1082" s="17" t="s">
        <v>1015</v>
      </c>
      <c r="G1082" s="20">
        <v>2680</v>
      </c>
    </row>
    <row r="1083" spans="1:7" ht="48">
      <c r="A1083" s="36" t="s">
        <v>764</v>
      </c>
      <c r="B1083" s="53" t="s">
        <v>1180</v>
      </c>
      <c r="C1083" s="17" t="s">
        <v>1337</v>
      </c>
      <c r="D1083" s="17" t="s">
        <v>1340</v>
      </c>
      <c r="E1083" s="17" t="s">
        <v>766</v>
      </c>
      <c r="F1083" s="17"/>
      <c r="G1083" s="19">
        <f>G1084</f>
        <v>0</v>
      </c>
    </row>
    <row r="1084" spans="1:7" ht="24">
      <c r="A1084" s="162" t="s">
        <v>405</v>
      </c>
      <c r="B1084" s="53" t="s">
        <v>1180</v>
      </c>
      <c r="C1084" s="17" t="s">
        <v>1337</v>
      </c>
      <c r="D1084" s="17" t="s">
        <v>1340</v>
      </c>
      <c r="E1084" s="17" t="s">
        <v>766</v>
      </c>
      <c r="F1084" s="17" t="s">
        <v>406</v>
      </c>
      <c r="G1084" s="19">
        <f>G1085</f>
        <v>0</v>
      </c>
    </row>
    <row r="1085" spans="1:7" ht="24">
      <c r="A1085" s="162" t="s">
        <v>873</v>
      </c>
      <c r="B1085" s="53" t="s">
        <v>1180</v>
      </c>
      <c r="C1085" s="17" t="s">
        <v>1337</v>
      </c>
      <c r="D1085" s="17" t="s">
        <v>1340</v>
      </c>
      <c r="E1085" s="17" t="s">
        <v>766</v>
      </c>
      <c r="F1085" s="17" t="s">
        <v>1015</v>
      </c>
      <c r="G1085" s="20">
        <f>1790.3-1790.3</f>
        <v>0</v>
      </c>
    </row>
    <row r="1086" spans="1:7" ht="48">
      <c r="A1086" s="18" t="s">
        <v>765</v>
      </c>
      <c r="B1086" s="53" t="s">
        <v>1180</v>
      </c>
      <c r="C1086" s="17" t="s">
        <v>1337</v>
      </c>
      <c r="D1086" s="17" t="s">
        <v>1340</v>
      </c>
      <c r="E1086" s="17" t="s">
        <v>1185</v>
      </c>
      <c r="F1086" s="17"/>
      <c r="G1086" s="19">
        <f>G1087</f>
        <v>3688.2</v>
      </c>
    </row>
    <row r="1087" spans="1:7" ht="24">
      <c r="A1087" s="162" t="s">
        <v>405</v>
      </c>
      <c r="B1087" s="53" t="s">
        <v>1180</v>
      </c>
      <c r="C1087" s="17" t="s">
        <v>1337</v>
      </c>
      <c r="D1087" s="17" t="s">
        <v>1340</v>
      </c>
      <c r="E1087" s="17" t="s">
        <v>1185</v>
      </c>
      <c r="F1087" s="17" t="s">
        <v>406</v>
      </c>
      <c r="G1087" s="19">
        <f>G1088</f>
        <v>3688.2</v>
      </c>
    </row>
    <row r="1088" spans="1:7" ht="24">
      <c r="A1088" s="162" t="s">
        <v>873</v>
      </c>
      <c r="B1088" s="53" t="s">
        <v>1180</v>
      </c>
      <c r="C1088" s="17" t="s">
        <v>1337</v>
      </c>
      <c r="D1088" s="17" t="s">
        <v>1340</v>
      </c>
      <c r="E1088" s="17" t="s">
        <v>1185</v>
      </c>
      <c r="F1088" s="17" t="s">
        <v>1015</v>
      </c>
      <c r="G1088" s="20">
        <f>1790.3+895.2+1002.7</f>
        <v>3688.2</v>
      </c>
    </row>
    <row r="1089" spans="1:7" ht="36" hidden="1">
      <c r="A1089" s="18" t="s">
        <v>332</v>
      </c>
      <c r="B1089" s="53" t="s">
        <v>1180</v>
      </c>
      <c r="C1089" s="17" t="s">
        <v>1337</v>
      </c>
      <c r="D1089" s="17" t="s">
        <v>1340</v>
      </c>
      <c r="E1089" s="17" t="s">
        <v>1460</v>
      </c>
      <c r="F1089" s="17"/>
      <c r="G1089" s="85">
        <f>G1090</f>
        <v>0</v>
      </c>
    </row>
    <row r="1090" spans="1:7" ht="15" hidden="1">
      <c r="A1090" s="18" t="s">
        <v>472</v>
      </c>
      <c r="B1090" s="53" t="s">
        <v>1180</v>
      </c>
      <c r="C1090" s="17" t="s">
        <v>1337</v>
      </c>
      <c r="D1090" s="17" t="s">
        <v>1340</v>
      </c>
      <c r="E1090" s="17" t="s">
        <v>1461</v>
      </c>
      <c r="F1090" s="17" t="s">
        <v>1204</v>
      </c>
      <c r="G1090" s="19">
        <f>G1091</f>
        <v>0</v>
      </c>
    </row>
    <row r="1091" spans="1:7" ht="15" hidden="1">
      <c r="A1091" s="162" t="s">
        <v>405</v>
      </c>
      <c r="B1091" s="53" t="s">
        <v>1180</v>
      </c>
      <c r="C1091" s="17" t="s">
        <v>1337</v>
      </c>
      <c r="D1091" s="17" t="s">
        <v>1340</v>
      </c>
      <c r="E1091" s="17" t="s">
        <v>1461</v>
      </c>
      <c r="F1091" s="17" t="s">
        <v>406</v>
      </c>
      <c r="G1091" s="19">
        <f>G1092</f>
        <v>0</v>
      </c>
    </row>
    <row r="1092" spans="1:7" ht="24" hidden="1">
      <c r="A1092" s="18" t="s">
        <v>873</v>
      </c>
      <c r="B1092" s="53" t="s">
        <v>1180</v>
      </c>
      <c r="C1092" s="17" t="s">
        <v>1337</v>
      </c>
      <c r="D1092" s="17" t="s">
        <v>1340</v>
      </c>
      <c r="E1092" s="17" t="s">
        <v>1461</v>
      </c>
      <c r="F1092" s="17" t="s">
        <v>1015</v>
      </c>
      <c r="G1092" s="20">
        <v>0</v>
      </c>
    </row>
    <row r="1093" spans="1:7" ht="18.75" customHeight="1">
      <c r="A1093" s="31" t="s">
        <v>833</v>
      </c>
      <c r="B1093" s="53" t="s">
        <v>1180</v>
      </c>
      <c r="C1093" s="17" t="s">
        <v>1337</v>
      </c>
      <c r="D1093" s="17" t="s">
        <v>118</v>
      </c>
      <c r="E1093" s="153"/>
      <c r="F1093" s="17"/>
      <c r="G1093" s="19">
        <f>G1094+G1097</f>
        <v>32200.5</v>
      </c>
    </row>
    <row r="1094" spans="1:7" ht="29.25" customHeight="1">
      <c r="A1094" s="33" t="s">
        <v>1021</v>
      </c>
      <c r="B1094" s="53" t="s">
        <v>1180</v>
      </c>
      <c r="C1094" s="17" t="s">
        <v>1337</v>
      </c>
      <c r="D1094" s="17" t="s">
        <v>118</v>
      </c>
      <c r="E1094" s="17" t="s">
        <v>578</v>
      </c>
      <c r="F1094" s="17"/>
      <c r="G1094" s="19">
        <f>G1095</f>
        <v>28167</v>
      </c>
    </row>
    <row r="1095" spans="1:7" ht="29.25" customHeight="1">
      <c r="A1095" s="132" t="s">
        <v>1020</v>
      </c>
      <c r="B1095" s="53" t="s">
        <v>1180</v>
      </c>
      <c r="C1095" s="17" t="s">
        <v>1337</v>
      </c>
      <c r="D1095" s="17" t="s">
        <v>118</v>
      </c>
      <c r="E1095" s="17" t="s">
        <v>578</v>
      </c>
      <c r="F1095" s="17" t="s">
        <v>406</v>
      </c>
      <c r="G1095" s="19">
        <f>G1096</f>
        <v>28167</v>
      </c>
    </row>
    <row r="1096" spans="1:7" ht="47.25" customHeight="1">
      <c r="A1096" s="36" t="s">
        <v>586</v>
      </c>
      <c r="B1096" s="53" t="s">
        <v>1180</v>
      </c>
      <c r="C1096" s="17" t="s">
        <v>1337</v>
      </c>
      <c r="D1096" s="17" t="s">
        <v>118</v>
      </c>
      <c r="E1096" s="17" t="s">
        <v>578</v>
      </c>
      <c r="F1096" s="17" t="s">
        <v>1015</v>
      </c>
      <c r="G1096" s="20">
        <f>1727+29471-3031</f>
        <v>28167</v>
      </c>
    </row>
    <row r="1097" spans="1:7" ht="27.75" customHeight="1">
      <c r="A1097" s="33" t="s">
        <v>455</v>
      </c>
      <c r="B1097" s="53" t="s">
        <v>1180</v>
      </c>
      <c r="C1097" s="17" t="s">
        <v>1337</v>
      </c>
      <c r="D1097" s="17" t="s">
        <v>118</v>
      </c>
      <c r="E1097" s="163" t="s">
        <v>1350</v>
      </c>
      <c r="F1097" s="17"/>
      <c r="G1097" s="19">
        <f>G1098</f>
        <v>4033.5</v>
      </c>
    </row>
    <row r="1098" spans="1:7" ht="28.5" customHeight="1">
      <c r="A1098" s="132" t="s">
        <v>1349</v>
      </c>
      <c r="B1098" s="53" t="s">
        <v>1180</v>
      </c>
      <c r="C1098" s="17" t="s">
        <v>1337</v>
      </c>
      <c r="D1098" s="17" t="s">
        <v>118</v>
      </c>
      <c r="E1098" s="163" t="s">
        <v>1348</v>
      </c>
      <c r="F1098" s="17" t="s">
        <v>1204</v>
      </c>
      <c r="G1098" s="19">
        <f>G1099</f>
        <v>4033.5</v>
      </c>
    </row>
    <row r="1099" spans="1:7" ht="24" customHeight="1">
      <c r="A1099" s="292" t="s">
        <v>405</v>
      </c>
      <c r="B1099" s="53" t="s">
        <v>1180</v>
      </c>
      <c r="C1099" s="17" t="s">
        <v>1337</v>
      </c>
      <c r="D1099" s="17" t="s">
        <v>118</v>
      </c>
      <c r="E1099" s="163" t="s">
        <v>1348</v>
      </c>
      <c r="F1099" s="17" t="s">
        <v>406</v>
      </c>
      <c r="G1099" s="19">
        <f>G1100</f>
        <v>4033.5</v>
      </c>
    </row>
    <row r="1100" spans="1:7" ht="29.25" customHeight="1">
      <c r="A1100" s="36" t="s">
        <v>873</v>
      </c>
      <c r="B1100" s="53" t="s">
        <v>1180</v>
      </c>
      <c r="C1100" s="17" t="s">
        <v>1337</v>
      </c>
      <c r="D1100" s="17" t="s">
        <v>118</v>
      </c>
      <c r="E1100" s="163" t="s">
        <v>1348</v>
      </c>
      <c r="F1100" s="17" t="s">
        <v>1015</v>
      </c>
      <c r="G1100" s="20">
        <f>8508.5-4475</f>
        <v>4033.5</v>
      </c>
    </row>
    <row r="1101" spans="1:7" ht="18" customHeight="1" hidden="1">
      <c r="A1101" s="18" t="s">
        <v>984</v>
      </c>
      <c r="B1101" s="53" t="s">
        <v>1180</v>
      </c>
      <c r="C1101" s="17" t="s">
        <v>1337</v>
      </c>
      <c r="D1101" s="17" t="s">
        <v>118</v>
      </c>
      <c r="E1101" s="17" t="s">
        <v>13</v>
      </c>
      <c r="F1101" s="17" t="s">
        <v>404</v>
      </c>
      <c r="G1101" s="20">
        <v>29471</v>
      </c>
    </row>
    <row r="1102" spans="1:7" ht="15.75">
      <c r="A1102" s="78" t="s">
        <v>266</v>
      </c>
      <c r="B1102" s="53" t="s">
        <v>1180</v>
      </c>
      <c r="C1102" s="54" t="s">
        <v>1342</v>
      </c>
      <c r="D1102" s="17"/>
      <c r="E1102" s="17"/>
      <c r="F1102" s="17"/>
      <c r="G1102" s="79">
        <f>G1103+G1117</f>
        <v>23673.9</v>
      </c>
    </row>
    <row r="1103" spans="1:7" ht="15">
      <c r="A1103" s="130" t="s">
        <v>82</v>
      </c>
      <c r="B1103" s="53" t="s">
        <v>1180</v>
      </c>
      <c r="C1103" s="17" t="s">
        <v>1342</v>
      </c>
      <c r="D1103" s="17" t="s">
        <v>184</v>
      </c>
      <c r="E1103" s="21"/>
      <c r="F1103" s="21"/>
      <c r="G1103" s="19">
        <f>G1104</f>
        <v>11317.5</v>
      </c>
    </row>
    <row r="1104" spans="1:7" ht="24">
      <c r="A1104" s="32" t="s">
        <v>656</v>
      </c>
      <c r="B1104" s="53" t="s">
        <v>1180</v>
      </c>
      <c r="C1104" s="17" t="s">
        <v>1342</v>
      </c>
      <c r="D1104" s="17" t="s">
        <v>184</v>
      </c>
      <c r="E1104" s="17" t="s">
        <v>1374</v>
      </c>
      <c r="F1104" s="17"/>
      <c r="G1104" s="19">
        <f>G1105</f>
        <v>11317.5</v>
      </c>
    </row>
    <row r="1105" spans="1:7" ht="36">
      <c r="A1105" s="36" t="s">
        <v>1321</v>
      </c>
      <c r="B1105" s="53" t="s">
        <v>1180</v>
      </c>
      <c r="C1105" s="17" t="s">
        <v>1342</v>
      </c>
      <c r="D1105" s="17" t="s">
        <v>184</v>
      </c>
      <c r="E1105" s="17" t="s">
        <v>1017</v>
      </c>
      <c r="F1105" s="17"/>
      <c r="G1105" s="19">
        <f>G1106</f>
        <v>11317.5</v>
      </c>
    </row>
    <row r="1106" spans="1:7" ht="24">
      <c r="A1106" s="18" t="s">
        <v>326</v>
      </c>
      <c r="B1106" s="53" t="s">
        <v>1180</v>
      </c>
      <c r="C1106" s="17" t="s">
        <v>1342</v>
      </c>
      <c r="D1106" s="17" t="s">
        <v>184</v>
      </c>
      <c r="E1106" s="17" t="s">
        <v>1018</v>
      </c>
      <c r="F1106" s="17" t="s">
        <v>1204</v>
      </c>
      <c r="G1106" s="19">
        <f>G1107</f>
        <v>11317.5</v>
      </c>
    </row>
    <row r="1107" spans="1:7" ht="24">
      <c r="A1107" s="36" t="s">
        <v>459</v>
      </c>
      <c r="B1107" s="53" t="s">
        <v>1180</v>
      </c>
      <c r="C1107" s="17" t="s">
        <v>1342</v>
      </c>
      <c r="D1107" s="17" t="s">
        <v>184</v>
      </c>
      <c r="E1107" s="17" t="s">
        <v>1018</v>
      </c>
      <c r="F1107" s="17" t="s">
        <v>641</v>
      </c>
      <c r="G1107" s="19">
        <f>G1108</f>
        <v>11317.5</v>
      </c>
    </row>
    <row r="1108" spans="1:7" ht="24">
      <c r="A1108" s="18" t="s">
        <v>390</v>
      </c>
      <c r="B1108" s="53" t="s">
        <v>1180</v>
      </c>
      <c r="C1108" s="17" t="s">
        <v>1342</v>
      </c>
      <c r="D1108" s="17" t="s">
        <v>184</v>
      </c>
      <c r="E1108" s="17" t="s">
        <v>1018</v>
      </c>
      <c r="F1108" s="17" t="s">
        <v>419</v>
      </c>
      <c r="G1108" s="20">
        <f>9350+462.2+252.3+150+150+300+80+350+223</f>
        <v>11317.5</v>
      </c>
    </row>
    <row r="1109" spans="1:7" ht="24">
      <c r="A1109" s="18" t="s">
        <v>1215</v>
      </c>
      <c r="B1109" s="53" t="s">
        <v>1180</v>
      </c>
      <c r="C1109" s="17" t="s">
        <v>1342</v>
      </c>
      <c r="D1109" s="17" t="s">
        <v>184</v>
      </c>
      <c r="E1109" s="17" t="s">
        <v>1018</v>
      </c>
      <c r="F1109" s="17" t="s">
        <v>419</v>
      </c>
      <c r="G1109" s="20">
        <v>462.2</v>
      </c>
    </row>
    <row r="1110" spans="1:7" ht="15" hidden="1">
      <c r="A1110" s="252" t="s">
        <v>889</v>
      </c>
      <c r="B1110" s="53" t="s">
        <v>1180</v>
      </c>
      <c r="C1110" s="17" t="s">
        <v>1342</v>
      </c>
      <c r="D1110" s="17" t="s">
        <v>184</v>
      </c>
      <c r="E1110" s="17" t="s">
        <v>1018</v>
      </c>
      <c r="F1110" s="17" t="s">
        <v>419</v>
      </c>
      <c r="G1110" s="20">
        <f>1116.4-1116.4</f>
        <v>0</v>
      </c>
    </row>
    <row r="1111" spans="1:7" ht="15" hidden="1">
      <c r="A1111" s="252" t="s">
        <v>952</v>
      </c>
      <c r="B1111" s="53" t="s">
        <v>1180</v>
      </c>
      <c r="C1111" s="17" t="s">
        <v>1342</v>
      </c>
      <c r="D1111" s="17" t="s">
        <v>184</v>
      </c>
      <c r="E1111" s="17" t="s">
        <v>1018</v>
      </c>
      <c r="F1111" s="17" t="s">
        <v>419</v>
      </c>
      <c r="G1111" s="20">
        <f>653-653</f>
        <v>0</v>
      </c>
    </row>
    <row r="1112" spans="1:7" ht="24">
      <c r="A1112" s="18" t="s">
        <v>294</v>
      </c>
      <c r="B1112" s="53" t="s">
        <v>1180</v>
      </c>
      <c r="C1112" s="17" t="s">
        <v>1342</v>
      </c>
      <c r="D1112" s="17" t="s">
        <v>184</v>
      </c>
      <c r="E1112" s="17" t="s">
        <v>1018</v>
      </c>
      <c r="F1112" s="17" t="s">
        <v>419</v>
      </c>
      <c r="G1112" s="20">
        <f>252.3+150</f>
        <v>402.3</v>
      </c>
    </row>
    <row r="1113" spans="1:7" ht="24">
      <c r="A1113" s="18" t="s">
        <v>358</v>
      </c>
      <c r="B1113" s="53" t="s">
        <v>1180</v>
      </c>
      <c r="C1113" s="17" t="s">
        <v>1342</v>
      </c>
      <c r="D1113" s="17" t="s">
        <v>184</v>
      </c>
      <c r="E1113" s="17" t="s">
        <v>1018</v>
      </c>
      <c r="F1113" s="17" t="s">
        <v>419</v>
      </c>
      <c r="G1113" s="20">
        <v>150</v>
      </c>
    </row>
    <row r="1114" spans="1:7" ht="24">
      <c r="A1114" s="18" t="s">
        <v>384</v>
      </c>
      <c r="B1114" s="53" t="s">
        <v>1180</v>
      </c>
      <c r="C1114" s="17" t="s">
        <v>1342</v>
      </c>
      <c r="D1114" s="17" t="s">
        <v>184</v>
      </c>
      <c r="E1114" s="17" t="s">
        <v>1018</v>
      </c>
      <c r="F1114" s="17" t="s">
        <v>419</v>
      </c>
      <c r="G1114" s="20">
        <v>300</v>
      </c>
    </row>
    <row r="1115" spans="1:7" ht="24">
      <c r="A1115" s="18" t="s">
        <v>385</v>
      </c>
      <c r="B1115" s="53" t="s">
        <v>1180</v>
      </c>
      <c r="C1115" s="17" t="s">
        <v>1342</v>
      </c>
      <c r="D1115" s="17" t="s">
        <v>184</v>
      </c>
      <c r="E1115" s="17" t="s">
        <v>1018</v>
      </c>
      <c r="F1115" s="17" t="s">
        <v>419</v>
      </c>
      <c r="G1115" s="20">
        <v>80</v>
      </c>
    </row>
    <row r="1116" spans="1:7" ht="36">
      <c r="A1116" s="18" t="s">
        <v>386</v>
      </c>
      <c r="B1116" s="53" t="s">
        <v>1180</v>
      </c>
      <c r="C1116" s="17" t="s">
        <v>1342</v>
      </c>
      <c r="D1116" s="17" t="s">
        <v>184</v>
      </c>
      <c r="E1116" s="17" t="s">
        <v>1018</v>
      </c>
      <c r="F1116" s="17" t="s">
        <v>419</v>
      </c>
      <c r="G1116" s="20">
        <v>350</v>
      </c>
    </row>
    <row r="1117" spans="1:7" ht="15">
      <c r="A1117" s="40" t="s">
        <v>83</v>
      </c>
      <c r="B1117" s="53" t="s">
        <v>1180</v>
      </c>
      <c r="C1117" s="17" t="s">
        <v>1342</v>
      </c>
      <c r="D1117" s="17" t="s">
        <v>1154</v>
      </c>
      <c r="E1117" s="17"/>
      <c r="F1117" s="17"/>
      <c r="G1117" s="19">
        <f>G1118</f>
        <v>12356.4</v>
      </c>
    </row>
    <row r="1118" spans="1:7" ht="24">
      <c r="A1118" s="32" t="s">
        <v>656</v>
      </c>
      <c r="B1118" s="53" t="s">
        <v>1180</v>
      </c>
      <c r="C1118" s="17" t="s">
        <v>1342</v>
      </c>
      <c r="D1118" s="17" t="s">
        <v>1154</v>
      </c>
      <c r="E1118" s="17" t="s">
        <v>1374</v>
      </c>
      <c r="F1118" s="17"/>
      <c r="G1118" s="19">
        <f>G1119</f>
        <v>12356.4</v>
      </c>
    </row>
    <row r="1119" spans="1:7" ht="36">
      <c r="A1119" s="36" t="s">
        <v>1016</v>
      </c>
      <c r="B1119" s="53" t="s">
        <v>1180</v>
      </c>
      <c r="C1119" s="17" t="s">
        <v>1342</v>
      </c>
      <c r="D1119" s="17" t="s">
        <v>1154</v>
      </c>
      <c r="E1119" s="17" t="s">
        <v>1017</v>
      </c>
      <c r="F1119" s="17"/>
      <c r="G1119" s="19">
        <f>G1120</f>
        <v>12356.4</v>
      </c>
    </row>
    <row r="1120" spans="1:7" ht="24">
      <c r="A1120" s="18" t="s">
        <v>346</v>
      </c>
      <c r="B1120" s="53" t="s">
        <v>1180</v>
      </c>
      <c r="C1120" s="17" t="s">
        <v>1342</v>
      </c>
      <c r="D1120" s="17" t="s">
        <v>1154</v>
      </c>
      <c r="E1120" s="17" t="s">
        <v>1019</v>
      </c>
      <c r="F1120" s="17" t="s">
        <v>1204</v>
      </c>
      <c r="G1120" s="19">
        <f>G1121</f>
        <v>12356.4</v>
      </c>
    </row>
    <row r="1121" spans="1:7" ht="24">
      <c r="A1121" s="36" t="s">
        <v>459</v>
      </c>
      <c r="B1121" s="53" t="s">
        <v>1180</v>
      </c>
      <c r="C1121" s="17" t="s">
        <v>1342</v>
      </c>
      <c r="D1121" s="17" t="s">
        <v>1154</v>
      </c>
      <c r="E1121" s="17" t="s">
        <v>1019</v>
      </c>
      <c r="F1121" s="17" t="s">
        <v>641</v>
      </c>
      <c r="G1121" s="19">
        <f>G1122</f>
        <v>12356.4</v>
      </c>
    </row>
    <row r="1122" spans="1:7" ht="24">
      <c r="A1122" s="18" t="s">
        <v>390</v>
      </c>
      <c r="B1122" s="53" t="s">
        <v>1180</v>
      </c>
      <c r="C1122" s="17" t="s">
        <v>1342</v>
      </c>
      <c r="D1122" s="17" t="s">
        <v>1154</v>
      </c>
      <c r="E1122" s="17" t="s">
        <v>1019</v>
      </c>
      <c r="F1122" s="17" t="s">
        <v>419</v>
      </c>
      <c r="G1122" s="20">
        <f>10212-2025.5+960+250-140-0.1+2100+1000</f>
        <v>12356.4</v>
      </c>
    </row>
    <row r="1123" spans="1:7" ht="24">
      <c r="A1123" s="18" t="s">
        <v>758</v>
      </c>
      <c r="B1123" s="53" t="s">
        <v>1180</v>
      </c>
      <c r="C1123" s="17" t="s">
        <v>1342</v>
      </c>
      <c r="D1123" s="17" t="s">
        <v>1154</v>
      </c>
      <c r="E1123" s="17" t="s">
        <v>1019</v>
      </c>
      <c r="F1123" s="17" t="s">
        <v>419</v>
      </c>
      <c r="G1123" s="20">
        <v>5596.4</v>
      </c>
    </row>
    <row r="1124" spans="1:7" ht="24" hidden="1">
      <c r="A1124" s="252" t="s">
        <v>487</v>
      </c>
      <c r="B1124" s="53" t="s">
        <v>1180</v>
      </c>
      <c r="C1124" s="17" t="s">
        <v>1342</v>
      </c>
      <c r="D1124" s="17" t="s">
        <v>1154</v>
      </c>
      <c r="E1124" s="17" t="s">
        <v>1019</v>
      </c>
      <c r="F1124" s="17" t="s">
        <v>419</v>
      </c>
      <c r="G1124" s="20">
        <f>960-960</f>
        <v>0</v>
      </c>
    </row>
    <row r="1125" spans="1:7" ht="24">
      <c r="A1125" s="18" t="s">
        <v>897</v>
      </c>
      <c r="B1125" s="53" t="s">
        <v>1180</v>
      </c>
      <c r="C1125" s="17" t="s">
        <v>1342</v>
      </c>
      <c r="D1125" s="17" t="s">
        <v>1154</v>
      </c>
      <c r="E1125" s="17" t="s">
        <v>1019</v>
      </c>
      <c r="F1125" s="17" t="s">
        <v>419</v>
      </c>
      <c r="G1125" s="20">
        <f>250-140</f>
        <v>110</v>
      </c>
    </row>
    <row r="1126" spans="1:7" ht="15" hidden="1">
      <c r="A1126" s="252" t="s">
        <v>889</v>
      </c>
      <c r="B1126" s="53" t="s">
        <v>1180</v>
      </c>
      <c r="C1126" s="17" t="s">
        <v>1342</v>
      </c>
      <c r="D1126" s="17" t="s">
        <v>1154</v>
      </c>
      <c r="E1126" s="17" t="s">
        <v>1019</v>
      </c>
      <c r="F1126" s="17" t="s">
        <v>419</v>
      </c>
      <c r="G1126" s="20">
        <f>223-223</f>
        <v>0</v>
      </c>
    </row>
    <row r="1127" spans="1:7" ht="15" hidden="1">
      <c r="A1127" s="252" t="s">
        <v>952</v>
      </c>
      <c r="B1127" s="53" t="s">
        <v>1180</v>
      </c>
      <c r="C1127" s="17" t="s">
        <v>1342</v>
      </c>
      <c r="D1127" s="17" t="s">
        <v>1154</v>
      </c>
      <c r="E1127" s="17" t="s">
        <v>1019</v>
      </c>
      <c r="F1127" s="17" t="s">
        <v>419</v>
      </c>
      <c r="G1127" s="20">
        <f>104.8-104.8</f>
        <v>0</v>
      </c>
    </row>
    <row r="1128" spans="1:7" ht="15" hidden="1">
      <c r="A1128" s="31" t="s">
        <v>1123</v>
      </c>
      <c r="B1128" s="53" t="s">
        <v>1180</v>
      </c>
      <c r="C1128" s="17" t="s">
        <v>756</v>
      </c>
      <c r="D1128" s="221" t="s">
        <v>1334</v>
      </c>
      <c r="E1128" s="17"/>
      <c r="F1128" s="172"/>
      <c r="G1128" s="79">
        <f>G1129</f>
        <v>0</v>
      </c>
    </row>
    <row r="1129" spans="1:7" ht="15" hidden="1">
      <c r="A1129" s="36" t="s">
        <v>265</v>
      </c>
      <c r="B1129" s="53" t="s">
        <v>1180</v>
      </c>
      <c r="C1129" s="17" t="s">
        <v>756</v>
      </c>
      <c r="D1129" s="221" t="s">
        <v>184</v>
      </c>
      <c r="E1129" s="17" t="s">
        <v>780</v>
      </c>
      <c r="F1129" s="172"/>
      <c r="G1129" s="19">
        <f>G1130+G1132</f>
        <v>0</v>
      </c>
    </row>
    <row r="1130" spans="1:7" ht="15" hidden="1">
      <c r="A1130" s="36" t="s">
        <v>636</v>
      </c>
      <c r="B1130" s="53" t="s">
        <v>1180</v>
      </c>
      <c r="C1130" s="17" t="s">
        <v>756</v>
      </c>
      <c r="D1130" s="221" t="s">
        <v>184</v>
      </c>
      <c r="E1130" s="17" t="s">
        <v>780</v>
      </c>
      <c r="F1130" s="172" t="s">
        <v>313</v>
      </c>
      <c r="G1130" s="19">
        <f>G1131</f>
        <v>0</v>
      </c>
    </row>
    <row r="1131" spans="1:7" ht="15" hidden="1">
      <c r="A1131" s="18" t="s">
        <v>1047</v>
      </c>
      <c r="B1131" s="53" t="s">
        <v>1180</v>
      </c>
      <c r="C1131" s="17" t="s">
        <v>756</v>
      </c>
      <c r="D1131" s="221" t="s">
        <v>184</v>
      </c>
      <c r="E1131" s="17" t="s">
        <v>780</v>
      </c>
      <c r="F1131" s="172" t="s">
        <v>1092</v>
      </c>
      <c r="G1131" s="20">
        <v>0</v>
      </c>
    </row>
    <row r="1132" spans="1:7" ht="15" hidden="1">
      <c r="A1132" s="158" t="s">
        <v>1189</v>
      </c>
      <c r="B1132" s="53" t="s">
        <v>1180</v>
      </c>
      <c r="C1132" s="17" t="s">
        <v>756</v>
      </c>
      <c r="D1132" s="221" t="s">
        <v>184</v>
      </c>
      <c r="E1132" s="17" t="s">
        <v>780</v>
      </c>
      <c r="F1132" s="172" t="s">
        <v>1190</v>
      </c>
      <c r="G1132" s="19">
        <f>G1133</f>
        <v>0</v>
      </c>
    </row>
    <row r="1133" spans="1:7" ht="36" hidden="1">
      <c r="A1133" s="18" t="s">
        <v>878</v>
      </c>
      <c r="B1133" s="53" t="s">
        <v>1180</v>
      </c>
      <c r="C1133" s="17" t="s">
        <v>756</v>
      </c>
      <c r="D1133" s="221" t="s">
        <v>184</v>
      </c>
      <c r="E1133" s="17" t="s">
        <v>780</v>
      </c>
      <c r="F1133" s="172" t="s">
        <v>1042</v>
      </c>
      <c r="G1133" s="20">
        <v>0</v>
      </c>
    </row>
    <row r="1134" spans="1:7" ht="38.25">
      <c r="A1134" s="24" t="s">
        <v>335</v>
      </c>
      <c r="B1134" s="53" t="s">
        <v>1180</v>
      </c>
      <c r="C1134" s="21" t="s">
        <v>191</v>
      </c>
      <c r="D1134" s="223"/>
      <c r="E1134" s="23"/>
      <c r="F1134" s="225"/>
      <c r="G1134" s="79">
        <f>G1135</f>
        <v>130984</v>
      </c>
    </row>
    <row r="1135" spans="1:7" ht="15">
      <c r="A1135" s="31" t="s">
        <v>1359</v>
      </c>
      <c r="B1135" s="53" t="s">
        <v>1180</v>
      </c>
      <c r="C1135" s="27" t="s">
        <v>191</v>
      </c>
      <c r="D1135" s="224" t="s">
        <v>1340</v>
      </c>
      <c r="E1135" s="27"/>
      <c r="F1135" s="226"/>
      <c r="G1135" s="19">
        <f>G1136</f>
        <v>130984</v>
      </c>
    </row>
    <row r="1136" spans="1:7" ht="36">
      <c r="A1136" s="36" t="s">
        <v>1176</v>
      </c>
      <c r="B1136" s="53" t="s">
        <v>1180</v>
      </c>
      <c r="C1136" s="17" t="s">
        <v>191</v>
      </c>
      <c r="D1136" s="221" t="s">
        <v>1340</v>
      </c>
      <c r="E1136" s="17" t="s">
        <v>650</v>
      </c>
      <c r="F1136" s="172" t="s">
        <v>1204</v>
      </c>
      <c r="G1136" s="19">
        <f>G1137</f>
        <v>130984</v>
      </c>
    </row>
    <row r="1137" spans="1:7" ht="24">
      <c r="A1137" s="36" t="s">
        <v>639</v>
      </c>
      <c r="B1137" s="53" t="s">
        <v>1180</v>
      </c>
      <c r="C1137" s="17" t="s">
        <v>191</v>
      </c>
      <c r="D1137" s="221" t="s">
        <v>1340</v>
      </c>
      <c r="E1137" s="17" t="s">
        <v>650</v>
      </c>
      <c r="F1137" s="172" t="s">
        <v>637</v>
      </c>
      <c r="G1137" s="19">
        <f>G1138</f>
        <v>130984</v>
      </c>
    </row>
    <row r="1138" spans="1:7" ht="24">
      <c r="A1138" s="36" t="s">
        <v>640</v>
      </c>
      <c r="B1138" s="53" t="s">
        <v>1180</v>
      </c>
      <c r="C1138" s="17" t="s">
        <v>191</v>
      </c>
      <c r="D1138" s="221" t="s">
        <v>1340</v>
      </c>
      <c r="E1138" s="17" t="s">
        <v>650</v>
      </c>
      <c r="F1138" s="172" t="s">
        <v>638</v>
      </c>
      <c r="G1138" s="20">
        <v>130984</v>
      </c>
    </row>
    <row r="1139" spans="1:7" ht="36" hidden="1">
      <c r="A1139" s="36" t="s">
        <v>323</v>
      </c>
      <c r="B1139" s="53" t="s">
        <v>1180</v>
      </c>
      <c r="C1139" s="17" t="s">
        <v>191</v>
      </c>
      <c r="D1139" s="221" t="s">
        <v>1340</v>
      </c>
      <c r="E1139" s="17" t="s">
        <v>650</v>
      </c>
      <c r="F1139" s="172" t="s">
        <v>324</v>
      </c>
      <c r="G1139" s="20">
        <v>130984</v>
      </c>
    </row>
    <row r="1140" spans="1:7" ht="15.75">
      <c r="A1140" s="50" t="s">
        <v>290</v>
      </c>
      <c r="B1140" s="51" t="s">
        <v>363</v>
      </c>
      <c r="C1140" s="51"/>
      <c r="D1140" s="51"/>
      <c r="E1140" s="227"/>
      <c r="F1140" s="51"/>
      <c r="G1140" s="52">
        <f>G1141</f>
        <v>22161.3</v>
      </c>
    </row>
    <row r="1141" spans="1:7" ht="15">
      <c r="A1141" s="160" t="s">
        <v>911</v>
      </c>
      <c r="B1141" s="53" t="s">
        <v>363</v>
      </c>
      <c r="C1141" s="17" t="s">
        <v>184</v>
      </c>
      <c r="D1141" s="17"/>
      <c r="E1141" s="17"/>
      <c r="F1141" s="17"/>
      <c r="G1141" s="19">
        <f>G1142+G1150</f>
        <v>22161.3</v>
      </c>
    </row>
    <row r="1142" spans="1:7" ht="24">
      <c r="A1142" s="157" t="s">
        <v>218</v>
      </c>
      <c r="B1142" s="53" t="s">
        <v>363</v>
      </c>
      <c r="C1142" s="17" t="s">
        <v>184</v>
      </c>
      <c r="D1142" s="54" t="s">
        <v>1154</v>
      </c>
      <c r="E1142" s="17"/>
      <c r="F1142" s="17"/>
      <c r="G1142" s="19">
        <f>G1145</f>
        <v>2985.3</v>
      </c>
    </row>
    <row r="1143" spans="1:7" ht="15">
      <c r="A1143" s="32" t="s">
        <v>328</v>
      </c>
      <c r="B1143" s="53"/>
      <c r="C1143" s="54" t="s">
        <v>184</v>
      </c>
      <c r="D1143" s="54" t="s">
        <v>1154</v>
      </c>
      <c r="E1143" s="17" t="s">
        <v>458</v>
      </c>
      <c r="F1143" s="54"/>
      <c r="G1143" s="85">
        <f>G1144</f>
        <v>2985.3</v>
      </c>
    </row>
    <row r="1144" spans="1:7" ht="24">
      <c r="A1144" s="36" t="s">
        <v>1225</v>
      </c>
      <c r="B1144" s="53" t="s">
        <v>363</v>
      </c>
      <c r="C1144" s="54" t="s">
        <v>184</v>
      </c>
      <c r="D1144" s="54" t="s">
        <v>1154</v>
      </c>
      <c r="E1144" s="17" t="s">
        <v>960</v>
      </c>
      <c r="F1144" s="54"/>
      <c r="G1144" s="85">
        <f>G1145</f>
        <v>2985.3</v>
      </c>
    </row>
    <row r="1145" spans="1:7" ht="23.25" customHeight="1">
      <c r="A1145" s="158" t="s">
        <v>864</v>
      </c>
      <c r="B1145" s="53" t="s">
        <v>363</v>
      </c>
      <c r="C1145" s="54" t="s">
        <v>184</v>
      </c>
      <c r="D1145" s="54" t="s">
        <v>1154</v>
      </c>
      <c r="E1145" s="17" t="s">
        <v>961</v>
      </c>
      <c r="F1145" s="54" t="s">
        <v>1204</v>
      </c>
      <c r="G1145" s="85">
        <f>G1146</f>
        <v>2985.3</v>
      </c>
    </row>
    <row r="1146" spans="1:7" ht="51" customHeight="1">
      <c r="A1146" s="158" t="s">
        <v>485</v>
      </c>
      <c r="B1146" s="53" t="s">
        <v>363</v>
      </c>
      <c r="C1146" s="54" t="s">
        <v>184</v>
      </c>
      <c r="D1146" s="54" t="s">
        <v>1154</v>
      </c>
      <c r="E1146" s="17" t="s">
        <v>961</v>
      </c>
      <c r="F1146" s="54" t="s">
        <v>21</v>
      </c>
      <c r="G1146" s="85">
        <f>G1147</f>
        <v>2985.3</v>
      </c>
    </row>
    <row r="1147" spans="1:7" ht="23.25" customHeight="1">
      <c r="A1147" s="158" t="s">
        <v>34</v>
      </c>
      <c r="B1147" s="53" t="s">
        <v>363</v>
      </c>
      <c r="C1147" s="54" t="s">
        <v>184</v>
      </c>
      <c r="D1147" s="54" t="s">
        <v>1154</v>
      </c>
      <c r="E1147" s="17" t="s">
        <v>961</v>
      </c>
      <c r="F1147" s="54" t="s">
        <v>416</v>
      </c>
      <c r="G1147" s="55">
        <v>2985.3</v>
      </c>
    </row>
    <row r="1148" spans="1:7" ht="15" hidden="1">
      <c r="A1148" s="158" t="s">
        <v>812</v>
      </c>
      <c r="B1148" s="53" t="s">
        <v>363</v>
      </c>
      <c r="C1148" s="54" t="s">
        <v>184</v>
      </c>
      <c r="D1148" s="54" t="s">
        <v>1154</v>
      </c>
      <c r="E1148" s="17" t="s">
        <v>961</v>
      </c>
      <c r="F1148" s="54" t="s">
        <v>813</v>
      </c>
      <c r="G1148" s="55">
        <v>2819.7</v>
      </c>
    </row>
    <row r="1149" spans="1:7" ht="15" hidden="1">
      <c r="A1149" s="158" t="s">
        <v>949</v>
      </c>
      <c r="B1149" s="53" t="s">
        <v>363</v>
      </c>
      <c r="C1149" s="54" t="s">
        <v>184</v>
      </c>
      <c r="D1149" s="54" t="s">
        <v>1154</v>
      </c>
      <c r="E1149" s="17" t="s">
        <v>961</v>
      </c>
      <c r="F1149" s="54" t="s">
        <v>950</v>
      </c>
      <c r="G1149" s="55">
        <v>165.7</v>
      </c>
    </row>
    <row r="1150" spans="1:7" ht="37.5" customHeight="1">
      <c r="A1150" s="31" t="s">
        <v>302</v>
      </c>
      <c r="B1150" s="53" t="s">
        <v>363</v>
      </c>
      <c r="C1150" s="17" t="s">
        <v>184</v>
      </c>
      <c r="D1150" s="17" t="s">
        <v>1340</v>
      </c>
      <c r="E1150" s="17"/>
      <c r="F1150" s="17"/>
      <c r="G1150" s="19">
        <f>G1151</f>
        <v>19176</v>
      </c>
    </row>
    <row r="1151" spans="1:7" ht="15">
      <c r="A1151" s="32" t="s">
        <v>328</v>
      </c>
      <c r="B1151" s="53" t="s">
        <v>363</v>
      </c>
      <c r="C1151" s="17" t="s">
        <v>184</v>
      </c>
      <c r="D1151" s="17" t="s">
        <v>1340</v>
      </c>
      <c r="E1151" s="17" t="s">
        <v>458</v>
      </c>
      <c r="F1151" s="17"/>
      <c r="G1151" s="19">
        <f>G1152</f>
        <v>19176</v>
      </c>
    </row>
    <row r="1152" spans="1:7" ht="30" customHeight="1">
      <c r="A1152" s="36" t="s">
        <v>1225</v>
      </c>
      <c r="B1152" s="53" t="s">
        <v>363</v>
      </c>
      <c r="C1152" s="17" t="s">
        <v>184</v>
      </c>
      <c r="D1152" s="17" t="s">
        <v>1340</v>
      </c>
      <c r="E1152" s="17" t="s">
        <v>960</v>
      </c>
      <c r="F1152" s="17"/>
      <c r="G1152" s="19">
        <f>G1153+G1165</f>
        <v>19176</v>
      </c>
    </row>
    <row r="1153" spans="1:7" ht="19.5" customHeight="1">
      <c r="A1153" s="18" t="s">
        <v>633</v>
      </c>
      <c r="B1153" s="53" t="s">
        <v>363</v>
      </c>
      <c r="C1153" s="17" t="s">
        <v>303</v>
      </c>
      <c r="D1153" s="17" t="s">
        <v>1340</v>
      </c>
      <c r="E1153" s="17" t="s">
        <v>962</v>
      </c>
      <c r="F1153" s="17" t="s">
        <v>1204</v>
      </c>
      <c r="G1153" s="85">
        <f>G1154+G1158+G1162</f>
        <v>19171.3</v>
      </c>
    </row>
    <row r="1154" spans="1:7" ht="50.25" customHeight="1">
      <c r="A1154" s="158" t="s">
        <v>485</v>
      </c>
      <c r="B1154" s="53" t="s">
        <v>363</v>
      </c>
      <c r="C1154" s="17" t="s">
        <v>184</v>
      </c>
      <c r="D1154" s="17" t="s">
        <v>1340</v>
      </c>
      <c r="E1154" s="17" t="s">
        <v>962</v>
      </c>
      <c r="F1154" s="17" t="s">
        <v>21</v>
      </c>
      <c r="G1154" s="85">
        <f>G1155</f>
        <v>18721.2</v>
      </c>
    </row>
    <row r="1155" spans="1:7" ht="26.25" customHeight="1">
      <c r="A1155" s="158" t="s">
        <v>34</v>
      </c>
      <c r="B1155" s="53" t="s">
        <v>363</v>
      </c>
      <c r="C1155" s="17" t="s">
        <v>184</v>
      </c>
      <c r="D1155" s="17" t="s">
        <v>1340</v>
      </c>
      <c r="E1155" s="17" t="s">
        <v>962</v>
      </c>
      <c r="F1155" s="17" t="s">
        <v>416</v>
      </c>
      <c r="G1155" s="55">
        <f>18721.3-0.1</f>
        <v>18721.2</v>
      </c>
    </row>
    <row r="1156" spans="1:7" ht="19.5" customHeight="1" hidden="1">
      <c r="A1156" s="158" t="s">
        <v>812</v>
      </c>
      <c r="B1156" s="53" t="s">
        <v>363</v>
      </c>
      <c r="C1156" s="17" t="s">
        <v>184</v>
      </c>
      <c r="D1156" s="17" t="s">
        <v>1340</v>
      </c>
      <c r="E1156" s="17" t="s">
        <v>962</v>
      </c>
      <c r="F1156" s="17" t="s">
        <v>813</v>
      </c>
      <c r="G1156" s="20">
        <v>18721.3</v>
      </c>
    </row>
    <row r="1157" spans="1:7" ht="19.5" customHeight="1" hidden="1">
      <c r="A1157" s="158" t="s">
        <v>949</v>
      </c>
      <c r="B1157" s="53" t="s">
        <v>363</v>
      </c>
      <c r="C1157" s="17" t="s">
        <v>184</v>
      </c>
      <c r="D1157" s="17" t="s">
        <v>1340</v>
      </c>
      <c r="E1157" s="17" t="s">
        <v>962</v>
      </c>
      <c r="F1157" s="17" t="s">
        <v>950</v>
      </c>
      <c r="G1157" s="20"/>
    </row>
    <row r="1158" spans="1:7" ht="30" customHeight="1">
      <c r="A1158" s="158" t="s">
        <v>486</v>
      </c>
      <c r="B1158" s="53" t="s">
        <v>363</v>
      </c>
      <c r="C1158" s="17" t="s">
        <v>184</v>
      </c>
      <c r="D1158" s="17" t="s">
        <v>1340</v>
      </c>
      <c r="E1158" s="17" t="s">
        <v>962</v>
      </c>
      <c r="F1158" s="17" t="s">
        <v>402</v>
      </c>
      <c r="G1158" s="19">
        <f>G1159</f>
        <v>350.1</v>
      </c>
    </row>
    <row r="1159" spans="1:7" ht="26.25" customHeight="1">
      <c r="A1159" s="158" t="s">
        <v>471</v>
      </c>
      <c r="B1159" s="53" t="s">
        <v>363</v>
      </c>
      <c r="C1159" s="17" t="s">
        <v>184</v>
      </c>
      <c r="D1159" s="17" t="s">
        <v>1340</v>
      </c>
      <c r="E1159" s="17" t="s">
        <v>962</v>
      </c>
      <c r="F1159" s="17" t="s">
        <v>1333</v>
      </c>
      <c r="G1159" s="20">
        <v>350.1</v>
      </c>
    </row>
    <row r="1160" spans="1:7" ht="23.25" customHeight="1" hidden="1">
      <c r="A1160" s="158" t="s">
        <v>178</v>
      </c>
      <c r="B1160" s="53" t="s">
        <v>363</v>
      </c>
      <c r="C1160" s="17" t="s">
        <v>184</v>
      </c>
      <c r="D1160" s="17" t="s">
        <v>1340</v>
      </c>
      <c r="E1160" s="17" t="s">
        <v>962</v>
      </c>
      <c r="F1160" s="17" t="s">
        <v>516</v>
      </c>
      <c r="G1160" s="20">
        <v>100</v>
      </c>
    </row>
    <row r="1161" spans="1:7" ht="20.25" customHeight="1" hidden="1">
      <c r="A1161" s="158" t="s">
        <v>233</v>
      </c>
      <c r="B1161" s="53" t="s">
        <v>363</v>
      </c>
      <c r="C1161" s="17" t="s">
        <v>184</v>
      </c>
      <c r="D1161" s="17" t="s">
        <v>1340</v>
      </c>
      <c r="E1161" s="17" t="s">
        <v>962</v>
      </c>
      <c r="F1161" s="17" t="s">
        <v>234</v>
      </c>
      <c r="G1161" s="20">
        <v>250</v>
      </c>
    </row>
    <row r="1162" spans="1:7" ht="20.25" customHeight="1">
      <c r="A1162" s="158" t="s">
        <v>1189</v>
      </c>
      <c r="B1162" s="53" t="s">
        <v>363</v>
      </c>
      <c r="C1162" s="17" t="s">
        <v>184</v>
      </c>
      <c r="D1162" s="17" t="s">
        <v>1340</v>
      </c>
      <c r="E1162" s="17" t="s">
        <v>962</v>
      </c>
      <c r="F1162" s="17" t="s">
        <v>1190</v>
      </c>
      <c r="G1162" s="19">
        <f>G1163</f>
        <v>100</v>
      </c>
    </row>
    <row r="1163" spans="1:7" ht="20.25" customHeight="1">
      <c r="A1163" s="158" t="s">
        <v>1059</v>
      </c>
      <c r="B1163" s="53" t="s">
        <v>363</v>
      </c>
      <c r="C1163" s="17" t="s">
        <v>184</v>
      </c>
      <c r="D1163" s="17" t="s">
        <v>1340</v>
      </c>
      <c r="E1163" s="17" t="s">
        <v>962</v>
      </c>
      <c r="F1163" s="17" t="s">
        <v>1060</v>
      </c>
      <c r="G1163" s="20">
        <v>100</v>
      </c>
    </row>
    <row r="1164" spans="1:7" ht="18" customHeight="1" hidden="1">
      <c r="A1164" s="18" t="s">
        <v>513</v>
      </c>
      <c r="B1164" s="53" t="s">
        <v>363</v>
      </c>
      <c r="C1164" s="17" t="s">
        <v>184</v>
      </c>
      <c r="D1164" s="17" t="s">
        <v>1340</v>
      </c>
      <c r="E1164" s="17" t="s">
        <v>962</v>
      </c>
      <c r="F1164" s="17" t="s">
        <v>514</v>
      </c>
      <c r="G1164" s="20">
        <v>100</v>
      </c>
    </row>
    <row r="1165" spans="1:7" ht="20.25" customHeight="1">
      <c r="A1165" s="159" t="s">
        <v>819</v>
      </c>
      <c r="B1165" s="53" t="s">
        <v>363</v>
      </c>
      <c r="C1165" s="17" t="s">
        <v>184</v>
      </c>
      <c r="D1165" s="17" t="s">
        <v>1340</v>
      </c>
      <c r="E1165" s="17" t="s">
        <v>963</v>
      </c>
      <c r="F1165" s="17" t="s">
        <v>1204</v>
      </c>
      <c r="G1165" s="19">
        <f>G1166</f>
        <v>4.7</v>
      </c>
    </row>
    <row r="1166" spans="1:7" ht="20.25" customHeight="1">
      <c r="A1166" s="158" t="s">
        <v>1189</v>
      </c>
      <c r="B1166" s="53" t="s">
        <v>363</v>
      </c>
      <c r="C1166" s="17" t="s">
        <v>184</v>
      </c>
      <c r="D1166" s="17" t="s">
        <v>1340</v>
      </c>
      <c r="E1166" s="17" t="s">
        <v>963</v>
      </c>
      <c r="F1166" s="17" t="s">
        <v>1190</v>
      </c>
      <c r="G1166" s="19">
        <f>G1167</f>
        <v>4.7</v>
      </c>
    </row>
    <row r="1167" spans="1:7" ht="20.25" customHeight="1">
      <c r="A1167" s="158" t="s">
        <v>1059</v>
      </c>
      <c r="B1167" s="53" t="s">
        <v>363</v>
      </c>
      <c r="C1167" s="17" t="s">
        <v>184</v>
      </c>
      <c r="D1167" s="17" t="s">
        <v>1340</v>
      </c>
      <c r="E1167" s="17" t="s">
        <v>963</v>
      </c>
      <c r="F1167" s="17" t="s">
        <v>1060</v>
      </c>
      <c r="G1167" s="20">
        <v>4.7</v>
      </c>
    </row>
    <row r="1168" spans="1:7" ht="18.75" customHeight="1" hidden="1">
      <c r="A1168" s="159" t="s">
        <v>819</v>
      </c>
      <c r="B1168" s="53" t="s">
        <v>363</v>
      </c>
      <c r="C1168" s="17" t="s">
        <v>184</v>
      </c>
      <c r="D1168" s="17" t="s">
        <v>1340</v>
      </c>
      <c r="E1168" s="17" t="s">
        <v>963</v>
      </c>
      <c r="F1168" s="17" t="s">
        <v>543</v>
      </c>
      <c r="G1168" s="20">
        <v>4.7</v>
      </c>
    </row>
    <row r="1169" spans="1:7" ht="27.75" customHeight="1">
      <c r="A1169" s="50" t="s">
        <v>1355</v>
      </c>
      <c r="B1169" s="51" t="s">
        <v>1224</v>
      </c>
      <c r="C1169" s="53"/>
      <c r="D1169" s="53"/>
      <c r="E1169" s="53"/>
      <c r="F1169" s="53"/>
      <c r="G1169" s="52">
        <f>G1170</f>
        <v>4988.3</v>
      </c>
    </row>
    <row r="1170" spans="1:7" ht="15">
      <c r="A1170" s="160" t="s">
        <v>911</v>
      </c>
      <c r="B1170" s="53" t="s">
        <v>1224</v>
      </c>
      <c r="C1170" s="17" t="s">
        <v>303</v>
      </c>
      <c r="D1170" s="17"/>
      <c r="E1170" s="17"/>
      <c r="F1170" s="17"/>
      <c r="G1170" s="19">
        <f>G1171</f>
        <v>4988.3</v>
      </c>
    </row>
    <row r="1171" spans="1:7" ht="36">
      <c r="A1171" s="31" t="s">
        <v>1041</v>
      </c>
      <c r="B1171" s="53" t="s">
        <v>1224</v>
      </c>
      <c r="C1171" s="17" t="s">
        <v>184</v>
      </c>
      <c r="D1171" s="17" t="s">
        <v>1335</v>
      </c>
      <c r="E1171" s="17"/>
      <c r="F1171" s="17"/>
      <c r="G1171" s="19">
        <f>G1172</f>
        <v>4988.3</v>
      </c>
    </row>
    <row r="1172" spans="1:7" ht="19.5" customHeight="1">
      <c r="A1172" s="33" t="s">
        <v>328</v>
      </c>
      <c r="B1172" s="53" t="s">
        <v>1224</v>
      </c>
      <c r="C1172" s="17" t="s">
        <v>303</v>
      </c>
      <c r="D1172" s="17" t="s">
        <v>1335</v>
      </c>
      <c r="E1172" s="17" t="s">
        <v>458</v>
      </c>
      <c r="F1172" s="17"/>
      <c r="G1172" s="19">
        <f>G1173</f>
        <v>4988.3</v>
      </c>
    </row>
    <row r="1173" spans="1:7" ht="24" customHeight="1">
      <c r="A1173" s="159" t="s">
        <v>985</v>
      </c>
      <c r="B1173" s="53" t="s">
        <v>1224</v>
      </c>
      <c r="C1173" s="17" t="s">
        <v>303</v>
      </c>
      <c r="D1173" s="17" t="s">
        <v>1335</v>
      </c>
      <c r="E1173" s="17" t="s">
        <v>986</v>
      </c>
      <c r="F1173" s="17"/>
      <c r="G1173" s="19">
        <f>G1174+G1178+G1183</f>
        <v>4988.3</v>
      </c>
    </row>
    <row r="1174" spans="1:7" ht="46.5" customHeight="1">
      <c r="A1174" s="158" t="s">
        <v>485</v>
      </c>
      <c r="B1174" s="53" t="s">
        <v>1224</v>
      </c>
      <c r="C1174" s="17" t="s">
        <v>184</v>
      </c>
      <c r="D1174" s="17" t="s">
        <v>1335</v>
      </c>
      <c r="E1174" s="17" t="s">
        <v>987</v>
      </c>
      <c r="F1174" s="17" t="s">
        <v>21</v>
      </c>
      <c r="G1174" s="19">
        <f>G1175</f>
        <v>4844.8</v>
      </c>
    </row>
    <row r="1175" spans="1:7" ht="24" customHeight="1">
      <c r="A1175" s="158" t="s">
        <v>34</v>
      </c>
      <c r="B1175" s="53" t="s">
        <v>1224</v>
      </c>
      <c r="C1175" s="17" t="s">
        <v>184</v>
      </c>
      <c r="D1175" s="17" t="s">
        <v>1335</v>
      </c>
      <c r="E1175" s="17" t="s">
        <v>987</v>
      </c>
      <c r="F1175" s="17" t="s">
        <v>416</v>
      </c>
      <c r="G1175" s="20">
        <v>4844.8</v>
      </c>
    </row>
    <row r="1176" spans="1:7" ht="26.25" customHeight="1" hidden="1">
      <c r="A1176" s="18" t="s">
        <v>812</v>
      </c>
      <c r="B1176" s="53" t="s">
        <v>1224</v>
      </c>
      <c r="C1176" s="17" t="s">
        <v>184</v>
      </c>
      <c r="D1176" s="17" t="s">
        <v>1335</v>
      </c>
      <c r="E1176" s="17" t="s">
        <v>987</v>
      </c>
      <c r="F1176" s="17" t="s">
        <v>813</v>
      </c>
      <c r="G1176" s="20">
        <v>4842.8</v>
      </c>
    </row>
    <row r="1177" spans="1:7" ht="15.75" customHeight="1" hidden="1">
      <c r="A1177" s="18" t="s">
        <v>949</v>
      </c>
      <c r="B1177" s="53" t="s">
        <v>1224</v>
      </c>
      <c r="C1177" s="17" t="s">
        <v>184</v>
      </c>
      <c r="D1177" s="17" t="s">
        <v>1335</v>
      </c>
      <c r="E1177" s="17" t="s">
        <v>987</v>
      </c>
      <c r="F1177" s="17" t="s">
        <v>950</v>
      </c>
      <c r="G1177" s="20">
        <v>2</v>
      </c>
    </row>
    <row r="1178" spans="1:7" ht="24.75" customHeight="1">
      <c r="A1178" s="158" t="s">
        <v>486</v>
      </c>
      <c r="B1178" s="53" t="s">
        <v>1224</v>
      </c>
      <c r="C1178" s="17" t="s">
        <v>184</v>
      </c>
      <c r="D1178" s="17" t="s">
        <v>1335</v>
      </c>
      <c r="E1178" s="17" t="s">
        <v>987</v>
      </c>
      <c r="F1178" s="17" t="s">
        <v>402</v>
      </c>
      <c r="G1178" s="19">
        <f>G1179</f>
        <v>108.5</v>
      </c>
    </row>
    <row r="1179" spans="1:7" ht="18" customHeight="1">
      <c r="A1179" s="158" t="s">
        <v>471</v>
      </c>
      <c r="B1179" s="53" t="s">
        <v>1224</v>
      </c>
      <c r="C1179" s="17" t="s">
        <v>184</v>
      </c>
      <c r="D1179" s="17" t="s">
        <v>1335</v>
      </c>
      <c r="E1179" s="17" t="s">
        <v>987</v>
      </c>
      <c r="F1179" s="17" t="s">
        <v>1333</v>
      </c>
      <c r="G1179" s="20">
        <f>110.5-2</f>
        <v>108.5</v>
      </c>
    </row>
    <row r="1180" spans="1:7" ht="24.75" customHeight="1" hidden="1">
      <c r="A1180" s="158" t="s">
        <v>178</v>
      </c>
      <c r="B1180" s="53" t="s">
        <v>1224</v>
      </c>
      <c r="C1180" s="17" t="s">
        <v>184</v>
      </c>
      <c r="D1180" s="17" t="s">
        <v>1335</v>
      </c>
      <c r="E1180" s="17" t="s">
        <v>987</v>
      </c>
      <c r="F1180" s="17" t="s">
        <v>516</v>
      </c>
      <c r="G1180" s="20">
        <v>38.5</v>
      </c>
    </row>
    <row r="1181" spans="1:7" ht="24.75" customHeight="1" hidden="1">
      <c r="A1181" s="158" t="s">
        <v>52</v>
      </c>
      <c r="B1181" s="53" t="s">
        <v>1224</v>
      </c>
      <c r="C1181" s="17" t="s">
        <v>184</v>
      </c>
      <c r="D1181" s="17" t="s">
        <v>1335</v>
      </c>
      <c r="E1181" s="17" t="s">
        <v>987</v>
      </c>
      <c r="F1181" s="17" t="s">
        <v>465</v>
      </c>
      <c r="G1181" s="20"/>
    </row>
    <row r="1182" spans="1:7" ht="15.75" customHeight="1" hidden="1">
      <c r="A1182" s="158" t="s">
        <v>233</v>
      </c>
      <c r="B1182" s="53" t="s">
        <v>1224</v>
      </c>
      <c r="C1182" s="17" t="s">
        <v>184</v>
      </c>
      <c r="D1182" s="17" t="s">
        <v>1335</v>
      </c>
      <c r="E1182" s="17" t="s">
        <v>987</v>
      </c>
      <c r="F1182" s="17" t="s">
        <v>234</v>
      </c>
      <c r="G1182" s="20">
        <v>72</v>
      </c>
    </row>
    <row r="1183" spans="1:7" ht="15.75" customHeight="1">
      <c r="A1183" s="158" t="s">
        <v>1189</v>
      </c>
      <c r="B1183" s="53" t="s">
        <v>1224</v>
      </c>
      <c r="C1183" s="17" t="s">
        <v>184</v>
      </c>
      <c r="D1183" s="17" t="s">
        <v>1335</v>
      </c>
      <c r="E1183" s="17" t="s">
        <v>987</v>
      </c>
      <c r="F1183" s="17" t="s">
        <v>1190</v>
      </c>
      <c r="G1183" s="19">
        <f>G1184</f>
        <v>35</v>
      </c>
    </row>
    <row r="1184" spans="1:7" ht="15.75" customHeight="1">
      <c r="A1184" s="158" t="s">
        <v>1059</v>
      </c>
      <c r="B1184" s="53" t="s">
        <v>1224</v>
      </c>
      <c r="C1184" s="17" t="s">
        <v>184</v>
      </c>
      <c r="D1184" s="17" t="s">
        <v>1335</v>
      </c>
      <c r="E1184" s="17" t="s">
        <v>987</v>
      </c>
      <c r="F1184" s="17" t="s">
        <v>1060</v>
      </c>
      <c r="G1184" s="20">
        <f>33+2</f>
        <v>35</v>
      </c>
    </row>
    <row r="1185" spans="1:7" ht="15.75" customHeight="1" hidden="1">
      <c r="A1185" s="18" t="s">
        <v>513</v>
      </c>
      <c r="B1185" s="53" t="s">
        <v>1224</v>
      </c>
      <c r="C1185" s="17" t="s">
        <v>184</v>
      </c>
      <c r="D1185" s="17" t="s">
        <v>1335</v>
      </c>
      <c r="E1185" s="17" t="s">
        <v>987</v>
      </c>
      <c r="F1185" s="17" t="s">
        <v>514</v>
      </c>
      <c r="G1185" s="19">
        <f>G1186</f>
        <v>33</v>
      </c>
    </row>
    <row r="1186" spans="1:7" ht="15.75" customHeight="1" hidden="1">
      <c r="A1186" s="159" t="s">
        <v>990</v>
      </c>
      <c r="B1186" s="53" t="s">
        <v>1224</v>
      </c>
      <c r="C1186" s="17" t="s">
        <v>184</v>
      </c>
      <c r="D1186" s="17" t="s">
        <v>1335</v>
      </c>
      <c r="E1186" s="17" t="s">
        <v>987</v>
      </c>
      <c r="F1186" s="17" t="s">
        <v>514</v>
      </c>
      <c r="G1186" s="20">
        <v>33</v>
      </c>
    </row>
    <row r="1187" spans="1:7" ht="29.25" customHeight="1">
      <c r="A1187" s="50" t="s">
        <v>788</v>
      </c>
      <c r="B1187" s="51" t="s">
        <v>634</v>
      </c>
      <c r="C1187" s="51"/>
      <c r="D1187" s="51"/>
      <c r="E1187" s="51"/>
      <c r="F1187" s="51"/>
      <c r="G1187" s="52">
        <f>G1188</f>
        <v>20555.5</v>
      </c>
    </row>
    <row r="1188" spans="1:7" ht="15">
      <c r="A1188" s="160" t="s">
        <v>911</v>
      </c>
      <c r="B1188" s="53" t="s">
        <v>634</v>
      </c>
      <c r="C1188" s="17" t="s">
        <v>184</v>
      </c>
      <c r="D1188" s="17"/>
      <c r="E1188" s="17"/>
      <c r="F1188" s="17"/>
      <c r="G1188" s="19">
        <f>G1189</f>
        <v>20555.5</v>
      </c>
    </row>
    <row r="1189" spans="1:7" ht="33.75">
      <c r="A1189" s="31" t="s">
        <v>1041</v>
      </c>
      <c r="B1189" s="53" t="s">
        <v>634</v>
      </c>
      <c r="C1189" s="17" t="s">
        <v>184</v>
      </c>
      <c r="D1189" s="17" t="s">
        <v>1335</v>
      </c>
      <c r="E1189" s="17"/>
      <c r="F1189" s="17"/>
      <c r="G1189" s="19">
        <f>G1190</f>
        <v>20555.5</v>
      </c>
    </row>
    <row r="1190" spans="1:7" ht="18.75" customHeight="1">
      <c r="A1190" s="33" t="s">
        <v>328</v>
      </c>
      <c r="B1190" s="53" t="s">
        <v>634</v>
      </c>
      <c r="C1190" s="17" t="s">
        <v>184</v>
      </c>
      <c r="D1190" s="17" t="s">
        <v>1335</v>
      </c>
      <c r="E1190" s="17" t="s">
        <v>458</v>
      </c>
      <c r="F1190" s="17"/>
      <c r="G1190" s="19">
        <f>G1191+G1206</f>
        <v>20555.5</v>
      </c>
    </row>
    <row r="1191" spans="1:7" ht="34.5" customHeight="1">
      <c r="A1191" s="18" t="s">
        <v>457</v>
      </c>
      <c r="B1191" s="53" t="s">
        <v>634</v>
      </c>
      <c r="C1191" s="17" t="s">
        <v>184</v>
      </c>
      <c r="D1191" s="17" t="s">
        <v>1335</v>
      </c>
      <c r="E1191" s="17" t="s">
        <v>1325</v>
      </c>
      <c r="F1191" s="17"/>
      <c r="G1191" s="19">
        <f>G1192+G1196+G1203</f>
        <v>20555.5</v>
      </c>
    </row>
    <row r="1192" spans="1:7" ht="34.5" customHeight="1">
      <c r="A1192" s="158" t="s">
        <v>485</v>
      </c>
      <c r="B1192" s="53" t="s">
        <v>634</v>
      </c>
      <c r="C1192" s="17" t="s">
        <v>184</v>
      </c>
      <c r="D1192" s="17" t="s">
        <v>1335</v>
      </c>
      <c r="E1192" s="17" t="s">
        <v>988</v>
      </c>
      <c r="F1192" s="17" t="s">
        <v>21</v>
      </c>
      <c r="G1192" s="19">
        <f>G1193</f>
        <v>19839.6</v>
      </c>
    </row>
    <row r="1193" spans="1:7" ht="23.25" customHeight="1">
      <c r="A1193" s="158" t="s">
        <v>34</v>
      </c>
      <c r="B1193" s="53" t="s">
        <v>634</v>
      </c>
      <c r="C1193" s="17" t="s">
        <v>184</v>
      </c>
      <c r="D1193" s="17" t="s">
        <v>1335</v>
      </c>
      <c r="E1193" s="17" t="s">
        <v>988</v>
      </c>
      <c r="F1193" s="17" t="s">
        <v>416</v>
      </c>
      <c r="G1193" s="20">
        <v>19839.6</v>
      </c>
    </row>
    <row r="1194" spans="1:7" ht="15.75" customHeight="1" hidden="1">
      <c r="A1194" s="18" t="s">
        <v>812</v>
      </c>
      <c r="B1194" s="53" t="s">
        <v>634</v>
      </c>
      <c r="C1194" s="17" t="s">
        <v>184</v>
      </c>
      <c r="D1194" s="17" t="s">
        <v>1335</v>
      </c>
      <c r="E1194" s="17" t="s">
        <v>988</v>
      </c>
      <c r="F1194" s="17" t="s">
        <v>813</v>
      </c>
      <c r="G1194" s="20">
        <v>19836.6</v>
      </c>
    </row>
    <row r="1195" spans="1:7" ht="18.75" customHeight="1" hidden="1">
      <c r="A1195" s="18" t="s">
        <v>949</v>
      </c>
      <c r="B1195" s="53" t="s">
        <v>634</v>
      </c>
      <c r="C1195" s="17" t="s">
        <v>184</v>
      </c>
      <c r="D1195" s="17" t="s">
        <v>1335</v>
      </c>
      <c r="E1195" s="17" t="s">
        <v>988</v>
      </c>
      <c r="F1195" s="17" t="s">
        <v>950</v>
      </c>
      <c r="G1195" s="20">
        <v>3</v>
      </c>
    </row>
    <row r="1196" spans="1:7" ht="25.5" customHeight="1">
      <c r="A1196" s="158" t="s">
        <v>486</v>
      </c>
      <c r="B1196" s="53" t="s">
        <v>634</v>
      </c>
      <c r="C1196" s="17" t="s">
        <v>184</v>
      </c>
      <c r="D1196" s="17" t="s">
        <v>1335</v>
      </c>
      <c r="E1196" s="17" t="s">
        <v>988</v>
      </c>
      <c r="F1196" s="17" t="s">
        <v>402</v>
      </c>
      <c r="G1196" s="19">
        <f>G1197</f>
        <v>703.9</v>
      </c>
    </row>
    <row r="1197" spans="1:7" ht="18.75" customHeight="1">
      <c r="A1197" s="158" t="s">
        <v>471</v>
      </c>
      <c r="B1197" s="53" t="s">
        <v>634</v>
      </c>
      <c r="C1197" s="17" t="s">
        <v>184</v>
      </c>
      <c r="D1197" s="17" t="s">
        <v>1335</v>
      </c>
      <c r="E1197" s="17" t="s">
        <v>988</v>
      </c>
      <c r="F1197" s="17" t="s">
        <v>1333</v>
      </c>
      <c r="G1197" s="20">
        <v>703.9</v>
      </c>
    </row>
    <row r="1198" spans="1:7" ht="27" customHeight="1" hidden="1">
      <c r="A1198" s="158" t="s">
        <v>178</v>
      </c>
      <c r="B1198" s="53" t="s">
        <v>634</v>
      </c>
      <c r="C1198" s="17" t="s">
        <v>184</v>
      </c>
      <c r="D1198" s="17" t="s">
        <v>1335</v>
      </c>
      <c r="E1198" s="17" t="s">
        <v>988</v>
      </c>
      <c r="F1198" s="17" t="s">
        <v>516</v>
      </c>
      <c r="G1198" s="20">
        <v>385</v>
      </c>
    </row>
    <row r="1199" spans="1:7" ht="29.25" customHeight="1" hidden="1">
      <c r="A1199" s="158" t="s">
        <v>52</v>
      </c>
      <c r="B1199" s="53" t="s">
        <v>634</v>
      </c>
      <c r="C1199" s="17" t="s">
        <v>184</v>
      </c>
      <c r="D1199" s="17" t="s">
        <v>1335</v>
      </c>
      <c r="E1199" s="17" t="s">
        <v>988</v>
      </c>
      <c r="F1199" s="17" t="s">
        <v>465</v>
      </c>
      <c r="G1199" s="20">
        <v>0</v>
      </c>
    </row>
    <row r="1200" spans="1:7" ht="15" hidden="1">
      <c r="A1200" s="158" t="s">
        <v>233</v>
      </c>
      <c r="B1200" s="53" t="s">
        <v>634</v>
      </c>
      <c r="C1200" s="17" t="s">
        <v>184</v>
      </c>
      <c r="D1200" s="17" t="s">
        <v>1335</v>
      </c>
      <c r="E1200" s="17" t="s">
        <v>988</v>
      </c>
      <c r="F1200" s="17" t="s">
        <v>234</v>
      </c>
      <c r="G1200" s="20">
        <v>318.9</v>
      </c>
    </row>
    <row r="1201" spans="1:7" ht="15" hidden="1">
      <c r="A1201" s="18" t="s">
        <v>513</v>
      </c>
      <c r="B1201" s="53" t="s">
        <v>634</v>
      </c>
      <c r="C1201" s="17" t="s">
        <v>184</v>
      </c>
      <c r="D1201" s="17" t="s">
        <v>1335</v>
      </c>
      <c r="E1201" s="17" t="s">
        <v>474</v>
      </c>
      <c r="F1201" s="17" t="s">
        <v>514</v>
      </c>
      <c r="G1201" s="20"/>
    </row>
    <row r="1202" spans="1:7" ht="15">
      <c r="A1202" s="159" t="s">
        <v>819</v>
      </c>
      <c r="B1202" s="53" t="s">
        <v>634</v>
      </c>
      <c r="C1202" s="17" t="s">
        <v>184</v>
      </c>
      <c r="D1202" s="17" t="s">
        <v>1335</v>
      </c>
      <c r="E1202" s="17" t="s">
        <v>989</v>
      </c>
      <c r="F1202" s="17" t="s">
        <v>1204</v>
      </c>
      <c r="G1202" s="19">
        <f>G1203</f>
        <v>12</v>
      </c>
    </row>
    <row r="1203" spans="1:7" ht="15">
      <c r="A1203" s="158" t="s">
        <v>1189</v>
      </c>
      <c r="B1203" s="53" t="s">
        <v>634</v>
      </c>
      <c r="C1203" s="17" t="s">
        <v>184</v>
      </c>
      <c r="D1203" s="17" t="s">
        <v>1335</v>
      </c>
      <c r="E1203" s="17" t="s">
        <v>989</v>
      </c>
      <c r="F1203" s="17" t="s">
        <v>1190</v>
      </c>
      <c r="G1203" s="19">
        <f>G1204</f>
        <v>12</v>
      </c>
    </row>
    <row r="1204" spans="1:7" ht="15">
      <c r="A1204" s="158" t="s">
        <v>1059</v>
      </c>
      <c r="B1204" s="53" t="s">
        <v>634</v>
      </c>
      <c r="C1204" s="17" t="s">
        <v>184</v>
      </c>
      <c r="D1204" s="17" t="s">
        <v>1335</v>
      </c>
      <c r="E1204" s="17" t="s">
        <v>989</v>
      </c>
      <c r="F1204" s="17" t="s">
        <v>1060</v>
      </c>
      <c r="G1204" s="20">
        <v>12</v>
      </c>
    </row>
    <row r="1205" spans="1:7" ht="15" hidden="1">
      <c r="A1205" s="159" t="s">
        <v>819</v>
      </c>
      <c r="B1205" s="53" t="s">
        <v>634</v>
      </c>
      <c r="C1205" s="17" t="s">
        <v>184</v>
      </c>
      <c r="D1205" s="17" t="s">
        <v>1335</v>
      </c>
      <c r="E1205" s="17" t="s">
        <v>989</v>
      </c>
      <c r="F1205" s="17" t="s">
        <v>543</v>
      </c>
      <c r="G1205" s="20">
        <v>12</v>
      </c>
    </row>
    <row r="1206" spans="1:7" ht="15">
      <c r="A1206" s="93" t="s">
        <v>349</v>
      </c>
      <c r="B1206" s="15"/>
      <c r="C1206" s="94"/>
      <c r="D1206" s="94"/>
      <c r="E1206" s="94"/>
      <c r="F1206" s="94"/>
      <c r="G1206" s="95"/>
    </row>
    <row r="1207" spans="1:8" ht="15">
      <c r="A1207" s="56" t="s">
        <v>350</v>
      </c>
      <c r="B1207" s="96"/>
      <c r="C1207" s="17"/>
      <c r="D1207" s="17"/>
      <c r="E1207" s="17"/>
      <c r="F1207" s="17"/>
      <c r="G1207" s="20"/>
      <c r="H1207" s="76"/>
    </row>
    <row r="1208" spans="1:7" ht="15">
      <c r="A1208" s="97"/>
      <c r="B1208" s="101"/>
      <c r="C1208" s="98"/>
      <c r="D1208" s="98"/>
      <c r="E1208" s="98"/>
      <c r="F1208" s="98"/>
      <c r="G1208" s="99"/>
    </row>
  </sheetData>
  <sheetProtection/>
  <mergeCells count="8">
    <mergeCell ref="B4:G4"/>
    <mergeCell ref="B2:G2"/>
    <mergeCell ref="B3:G3"/>
    <mergeCell ref="A10:G10"/>
    <mergeCell ref="B6:G6"/>
    <mergeCell ref="B7:G7"/>
    <mergeCell ref="B8:G8"/>
    <mergeCell ref="A9:G9"/>
  </mergeCells>
  <printOptions/>
  <pageMargins left="0.75" right="0.75" top="1" bottom="1" header="0.5" footer="0.5"/>
  <pageSetup firstPageNumber="49" useFirstPageNumber="1" horizontalDpi="600" verticalDpi="600" orientation="portrait" paperSize="9" scale="94" r:id="rId3"/>
  <headerFooter alignWithMargins="0">
    <oddFooter>&amp;R&amp;P</oddFooter>
  </headerFooter>
  <colBreaks count="1" manualBreakCount="1">
    <brk id="7" max="65535" man="1"/>
  </colBreaks>
  <legacyDrawing r:id="rId2"/>
</worksheet>
</file>

<file path=xl/worksheets/sheet4.xml><?xml version="1.0" encoding="utf-8"?>
<worksheet xmlns="http://schemas.openxmlformats.org/spreadsheetml/2006/main" xmlns:r="http://schemas.openxmlformats.org/officeDocument/2006/relationships">
  <dimension ref="A1:Q623"/>
  <sheetViews>
    <sheetView tabSelected="1" zoomScalePageLayoutView="0" workbookViewId="0" topLeftCell="A1">
      <selection activeCell="D7" sqref="D7"/>
    </sheetView>
  </sheetViews>
  <sheetFormatPr defaultColWidth="9.50390625" defaultRowHeight="12.75"/>
  <cols>
    <col min="1" max="1" width="50.50390625" style="7" customWidth="1"/>
    <col min="2" max="2" width="12.125" style="243" customWidth="1"/>
    <col min="3" max="3" width="5.50390625" style="243" customWidth="1"/>
    <col min="4" max="4" width="20.50390625" style="9" customWidth="1"/>
    <col min="5" max="5" width="6.125" style="72" customWidth="1"/>
    <col min="6" max="6" width="14.00390625" style="72" customWidth="1"/>
    <col min="7" max="7" width="15.50390625" style="72" customWidth="1"/>
    <col min="8" max="15" width="9.50390625" style="72" customWidth="1"/>
    <col min="16" max="16384" width="9.50390625" style="11" customWidth="1"/>
  </cols>
  <sheetData>
    <row r="1" spans="6:17" ht="9" customHeight="1">
      <c r="F1" s="73"/>
      <c r="P1" s="72"/>
      <c r="Q1" s="72"/>
    </row>
    <row r="2" spans="3:17" ht="13.5" customHeight="1">
      <c r="C2" s="315" t="s">
        <v>1211</v>
      </c>
      <c r="D2" s="315"/>
      <c r="F2" s="73"/>
      <c r="P2" s="72"/>
      <c r="Q2" s="72"/>
    </row>
    <row r="3" spans="3:17" ht="13.5" customHeight="1">
      <c r="C3" s="315" t="s">
        <v>866</v>
      </c>
      <c r="D3" s="315"/>
      <c r="F3" s="73"/>
      <c r="P3" s="72"/>
      <c r="Q3" s="72"/>
    </row>
    <row r="4" spans="3:17" ht="13.5" customHeight="1">
      <c r="C4" s="103" t="s">
        <v>1529</v>
      </c>
      <c r="D4" s="103"/>
      <c r="F4" s="73"/>
      <c r="P4" s="72"/>
      <c r="Q4" s="72"/>
    </row>
    <row r="5" spans="6:17" ht="11.25" customHeight="1">
      <c r="F5" s="73"/>
      <c r="P5" s="72"/>
      <c r="Q5" s="72"/>
    </row>
    <row r="6" spans="3:17" ht="17.25" customHeight="1">
      <c r="C6" s="315" t="s">
        <v>1212</v>
      </c>
      <c r="D6" s="315"/>
      <c r="F6" s="73"/>
      <c r="P6" s="72"/>
      <c r="Q6" s="72"/>
    </row>
    <row r="7" spans="3:17" ht="13.5" customHeight="1">
      <c r="C7" s="315" t="s">
        <v>866</v>
      </c>
      <c r="D7" s="315"/>
      <c r="F7" s="73"/>
      <c r="P7" s="72"/>
      <c r="Q7" s="72"/>
    </row>
    <row r="8" spans="3:17" ht="12.75" customHeight="1">
      <c r="C8" s="103" t="s">
        <v>1213</v>
      </c>
      <c r="D8" s="103"/>
      <c r="F8" s="73"/>
      <c r="P8" s="72"/>
      <c r="Q8" s="72"/>
    </row>
    <row r="9" spans="1:17" ht="21.75" customHeight="1">
      <c r="A9" s="341" t="s">
        <v>23</v>
      </c>
      <c r="B9" s="341"/>
      <c r="C9" s="341"/>
      <c r="D9" s="341"/>
      <c r="F9" s="73"/>
      <c r="P9" s="72"/>
      <c r="Q9" s="72"/>
    </row>
    <row r="10" spans="1:17" ht="17.25" customHeight="1">
      <c r="A10" s="341" t="s">
        <v>230</v>
      </c>
      <c r="B10" s="341"/>
      <c r="C10" s="341"/>
      <c r="D10" s="341"/>
      <c r="F10" s="73"/>
      <c r="P10" s="72"/>
      <c r="Q10" s="72"/>
    </row>
    <row r="11" spans="1:17" ht="15.75" customHeight="1">
      <c r="A11" s="341"/>
      <c r="B11" s="341"/>
      <c r="C11" s="341"/>
      <c r="D11" s="341"/>
      <c r="F11" s="73"/>
      <c r="P11" s="72"/>
      <c r="Q11" s="72"/>
    </row>
    <row r="12" spans="1:17" ht="0.75" customHeight="1">
      <c r="A12" s="341"/>
      <c r="B12" s="341"/>
      <c r="C12" s="341"/>
      <c r="D12" s="341"/>
      <c r="F12" s="73"/>
      <c r="P12" s="72"/>
      <c r="Q12" s="72"/>
    </row>
    <row r="13" spans="1:17" ht="15">
      <c r="A13" s="341"/>
      <c r="B13" s="341"/>
      <c r="C13" s="341"/>
      <c r="D13" s="341"/>
      <c r="F13" s="73"/>
      <c r="P13" s="72"/>
      <c r="Q13" s="72"/>
    </row>
    <row r="14" spans="1:17" ht="22.5" customHeight="1">
      <c r="A14" s="11"/>
      <c r="B14" s="244"/>
      <c r="C14" s="244"/>
      <c r="D14" s="229" t="s">
        <v>891</v>
      </c>
      <c r="F14" s="73"/>
      <c r="P14" s="72"/>
      <c r="Q14" s="72"/>
    </row>
    <row r="15" spans="1:17" s="14" customFormat="1" ht="39.75" customHeight="1">
      <c r="A15" s="192" t="s">
        <v>1057</v>
      </c>
      <c r="B15" s="193" t="s">
        <v>182</v>
      </c>
      <c r="C15" s="193" t="s">
        <v>183</v>
      </c>
      <c r="D15" s="194" t="s">
        <v>602</v>
      </c>
      <c r="E15" s="74"/>
      <c r="F15" s="75"/>
      <c r="G15" s="74"/>
      <c r="H15" s="74"/>
      <c r="I15" s="74"/>
      <c r="J15" s="74"/>
      <c r="K15" s="74"/>
      <c r="L15" s="74"/>
      <c r="M15" s="74"/>
      <c r="N15" s="74"/>
      <c r="O15" s="74"/>
      <c r="P15" s="74"/>
      <c r="Q15" s="74"/>
    </row>
    <row r="16" spans="1:17" ht="24.75" customHeight="1">
      <c r="A16" s="233" t="s">
        <v>1058</v>
      </c>
      <c r="B16" s="249" t="s">
        <v>201</v>
      </c>
      <c r="C16" s="245"/>
      <c r="D16" s="234">
        <f>D17+D28+D39+D43</f>
        <v>269879</v>
      </c>
      <c r="E16" s="108"/>
      <c r="F16" s="77"/>
      <c r="G16" s="77"/>
      <c r="H16" s="77"/>
      <c r="I16" s="168"/>
      <c r="P16" s="72"/>
      <c r="Q16" s="72"/>
    </row>
    <row r="17" spans="1:17" ht="24.75" customHeight="1">
      <c r="A17" s="33" t="s">
        <v>1313</v>
      </c>
      <c r="B17" s="232" t="s">
        <v>17</v>
      </c>
      <c r="C17" s="232"/>
      <c r="D17" s="55">
        <f>D18+D21+D24+D26</f>
        <v>64048.5</v>
      </c>
      <c r="E17" s="108"/>
      <c r="F17" s="195"/>
      <c r="G17" s="77"/>
      <c r="H17" s="77"/>
      <c r="I17" s="168"/>
      <c r="P17" s="72"/>
      <c r="Q17" s="72"/>
    </row>
    <row r="18" spans="1:17" ht="30.75" customHeight="1">
      <c r="A18" s="36" t="s">
        <v>803</v>
      </c>
      <c r="B18" s="232" t="s">
        <v>1314</v>
      </c>
      <c r="C18" s="232" t="s">
        <v>641</v>
      </c>
      <c r="D18" s="55">
        <f>D19+D20</f>
        <v>15305.5</v>
      </c>
      <c r="E18" s="108"/>
      <c r="F18" s="195"/>
      <c r="G18" s="77"/>
      <c r="H18" s="77"/>
      <c r="I18" s="168"/>
      <c r="P18" s="72"/>
      <c r="Q18" s="72"/>
    </row>
    <row r="19" spans="1:17" ht="18.75" customHeight="1">
      <c r="A19" s="36" t="s">
        <v>1103</v>
      </c>
      <c r="B19" s="232" t="s">
        <v>1314</v>
      </c>
      <c r="C19" s="232" t="s">
        <v>419</v>
      </c>
      <c r="D19" s="55">
        <f>10115-1700</f>
        <v>8415</v>
      </c>
      <c r="E19" s="108"/>
      <c r="F19" s="195"/>
      <c r="G19" s="77"/>
      <c r="H19" s="77"/>
      <c r="I19" s="168"/>
      <c r="P19" s="72"/>
      <c r="Q19" s="72"/>
    </row>
    <row r="20" spans="1:17" ht="18.75" customHeight="1">
      <c r="A20" s="36" t="s">
        <v>243</v>
      </c>
      <c r="B20" s="232" t="s">
        <v>1314</v>
      </c>
      <c r="C20" s="232" t="s">
        <v>244</v>
      </c>
      <c r="D20" s="55">
        <f>6890.5</f>
        <v>6890.5</v>
      </c>
      <c r="E20" s="108"/>
      <c r="F20" s="195"/>
      <c r="G20" s="77"/>
      <c r="H20" s="77"/>
      <c r="I20" s="168"/>
      <c r="P20" s="72"/>
      <c r="Q20" s="72"/>
    </row>
    <row r="21" spans="1:17" ht="27" customHeight="1">
      <c r="A21" s="36" t="s">
        <v>803</v>
      </c>
      <c r="B21" s="232" t="s">
        <v>1315</v>
      </c>
      <c r="C21" s="232" t="s">
        <v>641</v>
      </c>
      <c r="D21" s="55">
        <f>D22+D23</f>
        <v>24364</v>
      </c>
      <c r="E21" s="108"/>
      <c r="F21" s="195"/>
      <c r="G21" s="77"/>
      <c r="H21" s="77"/>
      <c r="I21" s="168"/>
      <c r="P21" s="72"/>
      <c r="Q21" s="72"/>
    </row>
    <row r="22" spans="1:17" ht="16.5" customHeight="1">
      <c r="A22" s="36" t="s">
        <v>1103</v>
      </c>
      <c r="B22" s="232" t="s">
        <v>1315</v>
      </c>
      <c r="C22" s="232" t="s">
        <v>419</v>
      </c>
      <c r="D22" s="55">
        <f>24464-1000</f>
        <v>23464</v>
      </c>
      <c r="E22" s="108"/>
      <c r="F22" s="195"/>
      <c r="G22" s="77"/>
      <c r="H22" s="77"/>
      <c r="I22" s="168"/>
      <c r="P22" s="72"/>
      <c r="Q22" s="72"/>
    </row>
    <row r="23" spans="1:17" ht="16.5" customHeight="1">
      <c r="A23" s="36" t="s">
        <v>243</v>
      </c>
      <c r="B23" s="232" t="s">
        <v>1315</v>
      </c>
      <c r="C23" s="232" t="s">
        <v>244</v>
      </c>
      <c r="D23" s="55">
        <f>900</f>
        <v>900</v>
      </c>
      <c r="E23" s="108"/>
      <c r="F23" s="195"/>
      <c r="G23" s="77"/>
      <c r="H23" s="77"/>
      <c r="I23" s="168"/>
      <c r="P23" s="72"/>
      <c r="Q23" s="72"/>
    </row>
    <row r="24" spans="1:17" ht="25.5" customHeight="1">
      <c r="A24" s="36" t="s">
        <v>803</v>
      </c>
      <c r="B24" s="232" t="s">
        <v>1316</v>
      </c>
      <c r="C24" s="232" t="s">
        <v>641</v>
      </c>
      <c r="D24" s="55">
        <f>D25</f>
        <v>24306</v>
      </c>
      <c r="E24" s="108"/>
      <c r="F24" s="195"/>
      <c r="G24" s="77"/>
      <c r="H24" s="77"/>
      <c r="I24" s="168"/>
      <c r="P24" s="72"/>
      <c r="Q24" s="72"/>
    </row>
    <row r="25" spans="1:17" ht="15.75" customHeight="1">
      <c r="A25" s="36" t="s">
        <v>1103</v>
      </c>
      <c r="B25" s="232" t="s">
        <v>1316</v>
      </c>
      <c r="C25" s="232" t="s">
        <v>419</v>
      </c>
      <c r="D25" s="55">
        <f>24085+221</f>
        <v>24306</v>
      </c>
      <c r="E25" s="108"/>
      <c r="F25" s="195"/>
      <c r="G25" s="77"/>
      <c r="H25" s="77"/>
      <c r="I25" s="168"/>
      <c r="P25" s="72"/>
      <c r="Q25" s="72"/>
    </row>
    <row r="26" spans="1:17" ht="26.25" customHeight="1">
      <c r="A26" s="36" t="s">
        <v>803</v>
      </c>
      <c r="B26" s="232" t="s">
        <v>227</v>
      </c>
      <c r="C26" s="232" t="s">
        <v>641</v>
      </c>
      <c r="D26" s="55">
        <f>D27</f>
        <v>73</v>
      </c>
      <c r="E26" s="108"/>
      <c r="F26" s="195"/>
      <c r="G26" s="77"/>
      <c r="H26" s="77"/>
      <c r="I26" s="168"/>
      <c r="P26" s="72"/>
      <c r="Q26" s="72"/>
    </row>
    <row r="27" spans="1:17" ht="18.75" customHeight="1">
      <c r="A27" s="36" t="s">
        <v>1103</v>
      </c>
      <c r="B27" s="232" t="s">
        <v>227</v>
      </c>
      <c r="C27" s="232" t="s">
        <v>419</v>
      </c>
      <c r="D27" s="55">
        <f>73</f>
        <v>73</v>
      </c>
      <c r="E27" s="108"/>
      <c r="F27" s="195"/>
      <c r="G27" s="77"/>
      <c r="H27" s="77"/>
      <c r="I27" s="168"/>
      <c r="P27" s="72"/>
      <c r="Q27" s="72"/>
    </row>
    <row r="28" spans="1:17" ht="48" customHeight="1">
      <c r="A28" s="37" t="s">
        <v>16</v>
      </c>
      <c r="B28" s="232" t="s">
        <v>644</v>
      </c>
      <c r="C28" s="232"/>
      <c r="D28" s="55">
        <f>D30+D32+D34+D36+D38</f>
        <v>72200.5</v>
      </c>
      <c r="E28" s="108"/>
      <c r="F28" s="195"/>
      <c r="G28" s="77"/>
      <c r="H28" s="77"/>
      <c r="I28" s="168"/>
      <c r="P28" s="72"/>
      <c r="Q28" s="72"/>
    </row>
    <row r="29" spans="1:17" ht="30" customHeight="1">
      <c r="A29" s="36" t="s">
        <v>803</v>
      </c>
      <c r="B29" s="232" t="s">
        <v>646</v>
      </c>
      <c r="C29" s="232" t="s">
        <v>641</v>
      </c>
      <c r="D29" s="55">
        <f>D30</f>
        <v>50956</v>
      </c>
      <c r="E29" s="108"/>
      <c r="F29" s="195"/>
      <c r="G29" s="77"/>
      <c r="H29" s="77"/>
      <c r="I29" s="168"/>
      <c r="P29" s="72"/>
      <c r="Q29" s="72"/>
    </row>
    <row r="30" spans="1:17" ht="23.25" customHeight="1">
      <c r="A30" s="36" t="s">
        <v>1103</v>
      </c>
      <c r="B30" s="232" t="s">
        <v>646</v>
      </c>
      <c r="C30" s="232" t="s">
        <v>419</v>
      </c>
      <c r="D30" s="55">
        <f>38156+11800+1000</f>
        <v>50956</v>
      </c>
      <c r="E30" s="108"/>
      <c r="F30" s="195"/>
      <c r="G30" s="77"/>
      <c r="H30" s="77"/>
      <c r="I30" s="168"/>
      <c r="P30" s="72"/>
      <c r="Q30" s="72"/>
    </row>
    <row r="31" spans="1:17" ht="24.75" customHeight="1">
      <c r="A31" s="36" t="s">
        <v>803</v>
      </c>
      <c r="B31" s="232" t="s">
        <v>1112</v>
      </c>
      <c r="C31" s="232" t="s">
        <v>641</v>
      </c>
      <c r="D31" s="55">
        <f>D32</f>
        <v>515</v>
      </c>
      <c r="E31" s="108"/>
      <c r="F31" s="195"/>
      <c r="G31" s="77"/>
      <c r="H31" s="77"/>
      <c r="I31" s="168"/>
      <c r="P31" s="72"/>
      <c r="Q31" s="72"/>
    </row>
    <row r="32" spans="1:17" ht="23.25" customHeight="1">
      <c r="A32" s="36" t="s">
        <v>1103</v>
      </c>
      <c r="B32" s="232" t="s">
        <v>1112</v>
      </c>
      <c r="C32" s="232" t="s">
        <v>419</v>
      </c>
      <c r="D32" s="55">
        <f>515</f>
        <v>515</v>
      </c>
      <c r="E32" s="108"/>
      <c r="F32" s="195"/>
      <c r="G32" s="77"/>
      <c r="H32" s="77"/>
      <c r="I32" s="168"/>
      <c r="P32" s="72"/>
      <c r="Q32" s="72"/>
    </row>
    <row r="33" spans="1:17" ht="23.25" customHeight="1">
      <c r="A33" s="36" t="s">
        <v>803</v>
      </c>
      <c r="B33" s="232" t="s">
        <v>645</v>
      </c>
      <c r="C33" s="232" t="s">
        <v>641</v>
      </c>
      <c r="D33" s="55">
        <f>D34</f>
        <v>15689.4</v>
      </c>
      <c r="E33" s="108"/>
      <c r="F33" s="195"/>
      <c r="G33" s="77"/>
      <c r="H33" s="77"/>
      <c r="I33" s="168"/>
      <c r="P33" s="72"/>
      <c r="Q33" s="72"/>
    </row>
    <row r="34" spans="1:17" ht="18.75" customHeight="1">
      <c r="A34" s="36" t="s">
        <v>1103</v>
      </c>
      <c r="B34" s="232" t="s">
        <v>645</v>
      </c>
      <c r="C34" s="232" t="s">
        <v>419</v>
      </c>
      <c r="D34" s="55">
        <f>14519.4+1700-530</f>
        <v>15689.4</v>
      </c>
      <c r="E34" s="108"/>
      <c r="F34" s="195"/>
      <c r="G34" s="77"/>
      <c r="H34" s="77"/>
      <c r="I34" s="168"/>
      <c r="P34" s="72"/>
      <c r="Q34" s="72"/>
    </row>
    <row r="35" spans="1:17" ht="24" customHeight="1">
      <c r="A35" s="36" t="s">
        <v>803</v>
      </c>
      <c r="B35" s="232" t="s">
        <v>228</v>
      </c>
      <c r="C35" s="232" t="s">
        <v>641</v>
      </c>
      <c r="D35" s="55">
        <f>D36</f>
        <v>5027.1</v>
      </c>
      <c r="E35" s="108"/>
      <c r="F35" s="195"/>
      <c r="G35" s="77"/>
      <c r="H35" s="77"/>
      <c r="I35" s="168"/>
      <c r="P35" s="72"/>
      <c r="Q35" s="72"/>
    </row>
    <row r="36" spans="1:17" ht="18.75" customHeight="1">
      <c r="A36" s="36" t="s">
        <v>1103</v>
      </c>
      <c r="B36" s="232" t="s">
        <v>228</v>
      </c>
      <c r="C36" s="232" t="s">
        <v>419</v>
      </c>
      <c r="D36" s="55">
        <f>1167.1+3860</f>
        <v>5027.1</v>
      </c>
      <c r="E36" s="108"/>
      <c r="F36" s="77"/>
      <c r="G36" s="77"/>
      <c r="H36" s="77"/>
      <c r="I36" s="168"/>
      <c r="P36" s="72"/>
      <c r="Q36" s="72"/>
    </row>
    <row r="37" spans="1:17" ht="24.75" customHeight="1">
      <c r="A37" s="36" t="s">
        <v>803</v>
      </c>
      <c r="B37" s="232" t="s">
        <v>229</v>
      </c>
      <c r="C37" s="232" t="s">
        <v>641</v>
      </c>
      <c r="D37" s="55">
        <f>D38</f>
        <v>13</v>
      </c>
      <c r="E37" s="108"/>
      <c r="F37" s="77"/>
      <c r="G37" s="77"/>
      <c r="H37" s="77"/>
      <c r="I37" s="168"/>
      <c r="P37" s="72"/>
      <c r="Q37" s="72"/>
    </row>
    <row r="38" spans="1:17" ht="18.75" customHeight="1">
      <c r="A38" s="36" t="s">
        <v>1103</v>
      </c>
      <c r="B38" s="232" t="s">
        <v>229</v>
      </c>
      <c r="C38" s="232" t="s">
        <v>419</v>
      </c>
      <c r="D38" s="55">
        <f>13</f>
        <v>13</v>
      </c>
      <c r="E38" s="108"/>
      <c r="F38" s="77"/>
      <c r="G38" s="77"/>
      <c r="H38" s="77"/>
      <c r="I38" s="168"/>
      <c r="P38" s="72"/>
      <c r="Q38" s="72"/>
    </row>
    <row r="39" spans="1:17" ht="35.25" customHeight="1">
      <c r="A39" s="196" t="s">
        <v>1309</v>
      </c>
      <c r="B39" s="54" t="s">
        <v>1310</v>
      </c>
      <c r="C39" s="232"/>
      <c r="D39" s="55">
        <f>D40</f>
        <v>114398.20000000001</v>
      </c>
      <c r="E39" s="108"/>
      <c r="F39" s="77"/>
      <c r="G39" s="77"/>
      <c r="H39" s="77"/>
      <c r="I39" s="168"/>
      <c r="P39" s="72"/>
      <c r="Q39" s="72"/>
    </row>
    <row r="40" spans="1:17" ht="30.75" customHeight="1">
      <c r="A40" s="36" t="s">
        <v>803</v>
      </c>
      <c r="B40" s="232" t="s">
        <v>1312</v>
      </c>
      <c r="C40" s="232" t="s">
        <v>641</v>
      </c>
      <c r="D40" s="55">
        <f>D41+D42</f>
        <v>114398.20000000001</v>
      </c>
      <c r="E40" s="108"/>
      <c r="F40" s="77"/>
      <c r="G40" s="77"/>
      <c r="H40" s="77"/>
      <c r="I40" s="168"/>
      <c r="P40" s="72"/>
      <c r="Q40" s="72"/>
    </row>
    <row r="41" spans="1:17" ht="15.75" customHeight="1">
      <c r="A41" s="36" t="s">
        <v>1103</v>
      </c>
      <c r="B41" s="232" t="s">
        <v>1312</v>
      </c>
      <c r="C41" s="232" t="s">
        <v>419</v>
      </c>
      <c r="D41" s="55">
        <f>89205+25300.1+88.8-692.5+502.9+189.6+1060.4+0.1+500+25-260-580-30-1100</f>
        <v>114209.40000000001</v>
      </c>
      <c r="E41" s="108"/>
      <c r="F41" s="77"/>
      <c r="G41" s="77"/>
      <c r="H41" s="77"/>
      <c r="I41" s="168"/>
      <c r="P41" s="72"/>
      <c r="Q41" s="72"/>
    </row>
    <row r="42" spans="1:17" ht="17.25" customHeight="1">
      <c r="A42" s="190" t="s">
        <v>243</v>
      </c>
      <c r="B42" s="232" t="s">
        <v>1312</v>
      </c>
      <c r="C42" s="232" t="s">
        <v>244</v>
      </c>
      <c r="D42" s="55">
        <f>188.8</f>
        <v>188.8</v>
      </c>
      <c r="E42" s="108"/>
      <c r="F42" s="77"/>
      <c r="G42" s="77"/>
      <c r="H42" s="77"/>
      <c r="I42" s="168"/>
      <c r="P42" s="72"/>
      <c r="Q42" s="72"/>
    </row>
    <row r="43" spans="1:17" ht="39.75" customHeight="1">
      <c r="A43" s="37" t="s">
        <v>1265</v>
      </c>
      <c r="B43" s="232" t="s">
        <v>1266</v>
      </c>
      <c r="C43" s="232"/>
      <c r="D43" s="55">
        <f>D45+D47+D49+D51+D53+D55</f>
        <v>19231.800000000003</v>
      </c>
      <c r="E43" s="108"/>
      <c r="F43" s="77"/>
      <c r="G43" s="77"/>
      <c r="H43" s="77"/>
      <c r="I43" s="168"/>
      <c r="P43" s="72"/>
      <c r="Q43" s="72"/>
    </row>
    <row r="44" spans="1:17" ht="51.75" customHeight="1">
      <c r="A44" s="64" t="s">
        <v>804</v>
      </c>
      <c r="B44" s="232" t="s">
        <v>121</v>
      </c>
      <c r="C44" s="232" t="s">
        <v>21</v>
      </c>
      <c r="D44" s="55">
        <f>D45</f>
        <v>4149</v>
      </c>
      <c r="E44" s="108"/>
      <c r="F44" s="77"/>
      <c r="G44" s="77"/>
      <c r="H44" s="77"/>
      <c r="I44" s="168"/>
      <c r="P44" s="72"/>
      <c r="Q44" s="72"/>
    </row>
    <row r="45" spans="1:17" ht="23.25" customHeight="1">
      <c r="A45" s="36" t="s">
        <v>34</v>
      </c>
      <c r="B45" s="232" t="s">
        <v>121</v>
      </c>
      <c r="C45" s="232" t="s">
        <v>416</v>
      </c>
      <c r="D45" s="55">
        <f>4125+24</f>
        <v>4149</v>
      </c>
      <c r="E45" s="108"/>
      <c r="F45" s="77"/>
      <c r="G45" s="77"/>
      <c r="H45" s="77"/>
      <c r="I45" s="168"/>
      <c r="P45" s="72"/>
      <c r="Q45" s="72"/>
    </row>
    <row r="46" spans="1:17" ht="25.5" customHeight="1">
      <c r="A46" s="36" t="s">
        <v>1122</v>
      </c>
      <c r="B46" s="232" t="s">
        <v>121</v>
      </c>
      <c r="C46" s="232" t="s">
        <v>402</v>
      </c>
      <c r="D46" s="55">
        <f>D47</f>
        <v>0</v>
      </c>
      <c r="E46" s="108"/>
      <c r="F46" s="77"/>
      <c r="G46" s="77"/>
      <c r="H46" s="77"/>
      <c r="I46" s="168"/>
      <c r="P46" s="72"/>
      <c r="Q46" s="72"/>
    </row>
    <row r="47" spans="1:17" ht="18.75" customHeight="1">
      <c r="A47" s="158" t="s">
        <v>827</v>
      </c>
      <c r="B47" s="232" t="s">
        <v>121</v>
      </c>
      <c r="C47" s="232" t="s">
        <v>1333</v>
      </c>
      <c r="D47" s="55">
        <f>24-24</f>
        <v>0</v>
      </c>
      <c r="E47" s="108"/>
      <c r="F47" s="77"/>
      <c r="G47" s="77"/>
      <c r="H47" s="77"/>
      <c r="I47" s="168"/>
      <c r="P47" s="72"/>
      <c r="Q47" s="72"/>
    </row>
    <row r="48" spans="1:17" ht="38.25" customHeight="1">
      <c r="A48" s="64" t="s">
        <v>1031</v>
      </c>
      <c r="B48" s="250" t="s">
        <v>1267</v>
      </c>
      <c r="C48" s="232" t="s">
        <v>21</v>
      </c>
      <c r="D48" s="55">
        <f>D49</f>
        <v>9966.800000000001</v>
      </c>
      <c r="E48" s="108"/>
      <c r="F48" s="77"/>
      <c r="G48" s="77"/>
      <c r="H48" s="77"/>
      <c r="I48" s="168"/>
      <c r="P48" s="72"/>
      <c r="Q48" s="72"/>
    </row>
    <row r="49" spans="1:17" ht="24.75" customHeight="1">
      <c r="A49" s="36" t="s">
        <v>34</v>
      </c>
      <c r="B49" s="250" t="s">
        <v>1267</v>
      </c>
      <c r="C49" s="232" t="s">
        <v>416</v>
      </c>
      <c r="D49" s="55">
        <f>8286+746.7+934.1</f>
        <v>9966.800000000001</v>
      </c>
      <c r="E49" s="108"/>
      <c r="F49" s="77"/>
      <c r="G49" s="77"/>
      <c r="H49" s="77"/>
      <c r="I49" s="168"/>
      <c r="P49" s="72"/>
      <c r="Q49" s="72"/>
    </row>
    <row r="50" spans="1:17" ht="24.75" customHeight="1">
      <c r="A50" s="36" t="s">
        <v>1122</v>
      </c>
      <c r="B50" s="250" t="s">
        <v>1267</v>
      </c>
      <c r="C50" s="232" t="s">
        <v>402</v>
      </c>
      <c r="D50" s="55">
        <f>D51</f>
        <v>512</v>
      </c>
      <c r="E50" s="108"/>
      <c r="F50" s="77"/>
      <c r="G50" s="77"/>
      <c r="H50" s="77"/>
      <c r="I50" s="168"/>
      <c r="P50" s="72"/>
      <c r="Q50" s="72"/>
    </row>
    <row r="51" spans="1:17" ht="18.75" customHeight="1">
      <c r="A51" s="158" t="s">
        <v>827</v>
      </c>
      <c r="B51" s="250" t="s">
        <v>1267</v>
      </c>
      <c r="C51" s="232" t="s">
        <v>1333</v>
      </c>
      <c r="D51" s="55">
        <f>537-60+35</f>
        <v>512</v>
      </c>
      <c r="E51" s="108"/>
      <c r="F51" s="77"/>
      <c r="G51" s="77"/>
      <c r="H51" s="77"/>
      <c r="I51" s="168"/>
      <c r="P51" s="72"/>
      <c r="Q51" s="72"/>
    </row>
    <row r="52" spans="1:17" ht="18.75" customHeight="1">
      <c r="A52" s="158" t="s">
        <v>1189</v>
      </c>
      <c r="B52" s="250" t="s">
        <v>1268</v>
      </c>
      <c r="C52" s="232" t="s">
        <v>1190</v>
      </c>
      <c r="D52" s="55">
        <f>D53</f>
        <v>165</v>
      </c>
      <c r="E52" s="108"/>
      <c r="F52" s="77"/>
      <c r="G52" s="77"/>
      <c r="H52" s="77"/>
      <c r="I52" s="168"/>
      <c r="P52" s="72"/>
      <c r="Q52" s="72"/>
    </row>
    <row r="53" spans="1:17" ht="18.75" customHeight="1">
      <c r="A53" s="158" t="s">
        <v>1059</v>
      </c>
      <c r="B53" s="250" t="s">
        <v>1268</v>
      </c>
      <c r="C53" s="232" t="s">
        <v>1060</v>
      </c>
      <c r="D53" s="55">
        <f>20+60+85</f>
        <v>165</v>
      </c>
      <c r="E53" s="108"/>
      <c r="F53" s="77"/>
      <c r="G53" s="77"/>
      <c r="H53" s="77"/>
      <c r="I53" s="168"/>
      <c r="P53" s="72"/>
      <c r="Q53" s="72"/>
    </row>
    <row r="54" spans="1:17" ht="25.5" customHeight="1">
      <c r="A54" s="36" t="s">
        <v>803</v>
      </c>
      <c r="B54" s="232" t="s">
        <v>1271</v>
      </c>
      <c r="C54" s="232" t="s">
        <v>641</v>
      </c>
      <c r="D54" s="55">
        <f>D55</f>
        <v>4439</v>
      </c>
      <c r="E54" s="108"/>
      <c r="F54" s="77"/>
      <c r="G54" s="77"/>
      <c r="H54" s="77"/>
      <c r="I54" s="168"/>
      <c r="P54" s="72"/>
      <c r="Q54" s="72"/>
    </row>
    <row r="55" spans="1:17" ht="18.75" customHeight="1">
      <c r="A55" s="36" t="s">
        <v>1103</v>
      </c>
      <c r="B55" s="232" t="s">
        <v>1271</v>
      </c>
      <c r="C55" s="232" t="s">
        <v>419</v>
      </c>
      <c r="D55" s="55">
        <f>4439</f>
        <v>4439</v>
      </c>
      <c r="E55" s="108"/>
      <c r="F55" s="77"/>
      <c r="G55" s="77"/>
      <c r="H55" s="77"/>
      <c r="I55" s="168"/>
      <c r="P55" s="72"/>
      <c r="Q55" s="72"/>
    </row>
    <row r="56" spans="1:17" ht="26.25" customHeight="1">
      <c r="A56" s="214" t="s">
        <v>1061</v>
      </c>
      <c r="B56" s="240" t="s">
        <v>197</v>
      </c>
      <c r="C56" s="240"/>
      <c r="D56" s="201">
        <f>D57+D60+D63+D65+D67+D69+D72+D74+D79+D84+D95</f>
        <v>485275.7</v>
      </c>
      <c r="E56" s="108"/>
      <c r="F56" s="77"/>
      <c r="G56" s="77"/>
      <c r="H56" s="77"/>
      <c r="I56" s="168"/>
      <c r="P56" s="72"/>
      <c r="Q56" s="72"/>
    </row>
    <row r="57" spans="1:17" ht="26.25" customHeight="1">
      <c r="A57" s="36" t="s">
        <v>459</v>
      </c>
      <c r="B57" s="232" t="s">
        <v>1246</v>
      </c>
      <c r="C57" s="232" t="s">
        <v>641</v>
      </c>
      <c r="D57" s="55">
        <f>D58+D59</f>
        <v>6260</v>
      </c>
      <c r="E57" s="108"/>
      <c r="F57" s="77"/>
      <c r="G57" s="77"/>
      <c r="H57" s="77"/>
      <c r="I57" s="168"/>
      <c r="P57" s="72"/>
      <c r="Q57" s="72"/>
    </row>
    <row r="58" spans="1:17" ht="17.25" customHeight="1">
      <c r="A58" s="18" t="s">
        <v>418</v>
      </c>
      <c r="B58" s="232" t="s">
        <v>1246</v>
      </c>
      <c r="C58" s="232" t="s">
        <v>419</v>
      </c>
      <c r="D58" s="55">
        <v>5740</v>
      </c>
      <c r="E58" s="108"/>
      <c r="F58" s="77"/>
      <c r="G58" s="77"/>
      <c r="H58" s="77"/>
      <c r="I58" s="168"/>
      <c r="P58" s="72"/>
      <c r="Q58" s="72"/>
    </row>
    <row r="59" spans="1:17" ht="15.75" customHeight="1">
      <c r="A59" s="18" t="s">
        <v>243</v>
      </c>
      <c r="B59" s="232" t="s">
        <v>1246</v>
      </c>
      <c r="C59" s="232" t="s">
        <v>244</v>
      </c>
      <c r="D59" s="55">
        <f>520</f>
        <v>520</v>
      </c>
      <c r="E59" s="108"/>
      <c r="F59" s="77"/>
      <c r="G59" s="77"/>
      <c r="H59" s="77"/>
      <c r="I59" s="168"/>
      <c r="P59" s="72"/>
      <c r="Q59" s="72"/>
    </row>
    <row r="60" spans="1:17" ht="26.25" customHeight="1">
      <c r="A60" s="36" t="s">
        <v>803</v>
      </c>
      <c r="B60" s="232" t="s">
        <v>299</v>
      </c>
      <c r="C60" s="232" t="s">
        <v>641</v>
      </c>
      <c r="D60" s="55">
        <f>D61+D62</f>
        <v>208783.4</v>
      </c>
      <c r="E60" s="108"/>
      <c r="F60" s="77"/>
      <c r="G60" s="77"/>
      <c r="H60" s="77"/>
      <c r="I60" s="168"/>
      <c r="P60" s="72"/>
      <c r="Q60" s="72"/>
    </row>
    <row r="61" spans="1:17" ht="19.5" customHeight="1">
      <c r="A61" s="60" t="s">
        <v>1103</v>
      </c>
      <c r="B61" s="232" t="s">
        <v>299</v>
      </c>
      <c r="C61" s="232" t="s">
        <v>419</v>
      </c>
      <c r="D61" s="55">
        <f>174733-160+90+1300</f>
        <v>175963</v>
      </c>
      <c r="E61" s="108"/>
      <c r="F61" s="77"/>
      <c r="G61" s="77"/>
      <c r="H61" s="77"/>
      <c r="I61" s="168"/>
      <c r="P61" s="72"/>
      <c r="Q61" s="72"/>
    </row>
    <row r="62" spans="1:17" ht="19.5" customHeight="1">
      <c r="A62" s="18" t="s">
        <v>243</v>
      </c>
      <c r="B62" s="232" t="s">
        <v>299</v>
      </c>
      <c r="C62" s="232" t="s">
        <v>244</v>
      </c>
      <c r="D62" s="55">
        <f>31368.1+1452.3</f>
        <v>32820.4</v>
      </c>
      <c r="E62" s="108"/>
      <c r="F62" s="77"/>
      <c r="G62" s="77"/>
      <c r="H62" s="77"/>
      <c r="I62" s="168"/>
      <c r="P62" s="72"/>
      <c r="Q62" s="72"/>
    </row>
    <row r="63" spans="1:17" ht="25.5" customHeight="1">
      <c r="A63" s="36" t="s">
        <v>803</v>
      </c>
      <c r="B63" s="232" t="s">
        <v>541</v>
      </c>
      <c r="C63" s="232" t="s">
        <v>641</v>
      </c>
      <c r="D63" s="55">
        <f>D64</f>
        <v>3714</v>
      </c>
      <c r="E63" s="108"/>
      <c r="F63" s="77"/>
      <c r="G63" s="77"/>
      <c r="H63" s="77"/>
      <c r="I63" s="168"/>
      <c r="P63" s="72"/>
      <c r="Q63" s="72"/>
    </row>
    <row r="64" spans="1:17" ht="18" customHeight="1">
      <c r="A64" s="18" t="s">
        <v>243</v>
      </c>
      <c r="B64" s="232" t="s">
        <v>541</v>
      </c>
      <c r="C64" s="232" t="s">
        <v>419</v>
      </c>
      <c r="D64" s="55">
        <f>3784-70</f>
        <v>3714</v>
      </c>
      <c r="E64" s="108"/>
      <c r="F64" s="77"/>
      <c r="G64" s="77"/>
      <c r="H64" s="77"/>
      <c r="I64" s="168"/>
      <c r="P64" s="72"/>
      <c r="Q64" s="72"/>
    </row>
    <row r="65" spans="1:17" ht="24.75" customHeight="1">
      <c r="A65" s="36" t="s">
        <v>805</v>
      </c>
      <c r="B65" s="232" t="s">
        <v>542</v>
      </c>
      <c r="C65" s="232" t="s">
        <v>402</v>
      </c>
      <c r="D65" s="55">
        <f>D66</f>
        <v>218</v>
      </c>
      <c r="E65" s="108"/>
      <c r="F65" s="77"/>
      <c r="G65" s="77"/>
      <c r="H65" s="77"/>
      <c r="I65" s="168"/>
      <c r="P65" s="72"/>
      <c r="Q65" s="72"/>
    </row>
    <row r="66" spans="1:17" ht="19.5" customHeight="1">
      <c r="A66" s="158" t="s">
        <v>827</v>
      </c>
      <c r="B66" s="232" t="s">
        <v>542</v>
      </c>
      <c r="C66" s="232" t="s">
        <v>1333</v>
      </c>
      <c r="D66" s="55">
        <f>218</f>
        <v>218</v>
      </c>
      <c r="E66" s="108"/>
      <c r="F66" s="77"/>
      <c r="G66" s="77"/>
      <c r="H66" s="77"/>
      <c r="I66" s="168"/>
      <c r="P66" s="72"/>
      <c r="Q66" s="72"/>
    </row>
    <row r="67" spans="1:17" ht="27.75" customHeight="1">
      <c r="A67" s="158" t="s">
        <v>270</v>
      </c>
      <c r="B67" s="232" t="s">
        <v>542</v>
      </c>
      <c r="C67" s="232" t="s">
        <v>312</v>
      </c>
      <c r="D67" s="55">
        <f>D68</f>
        <v>3250</v>
      </c>
      <c r="E67" s="108"/>
      <c r="F67" s="77"/>
      <c r="G67" s="77"/>
      <c r="H67" s="77"/>
      <c r="I67" s="168"/>
      <c r="P67" s="72"/>
      <c r="Q67" s="72"/>
    </row>
    <row r="68" spans="1:17" ht="39" customHeight="1">
      <c r="A68" s="18" t="s">
        <v>830</v>
      </c>
      <c r="B68" s="232" t="s">
        <v>542</v>
      </c>
      <c r="C68" s="232" t="s">
        <v>1299</v>
      </c>
      <c r="D68" s="55">
        <v>3250</v>
      </c>
      <c r="E68" s="108"/>
      <c r="F68" s="77"/>
      <c r="G68" s="77"/>
      <c r="H68" s="77"/>
      <c r="I68" s="168"/>
      <c r="P68" s="72"/>
      <c r="Q68" s="72"/>
    </row>
    <row r="69" spans="1:17" ht="26.25" customHeight="1">
      <c r="A69" s="36" t="s">
        <v>803</v>
      </c>
      <c r="B69" s="232" t="s">
        <v>542</v>
      </c>
      <c r="C69" s="232" t="s">
        <v>641</v>
      </c>
      <c r="D69" s="55">
        <f>D70+D71</f>
        <v>10224.5</v>
      </c>
      <c r="E69" s="108"/>
      <c r="F69" s="77"/>
      <c r="G69" s="77"/>
      <c r="H69" s="77"/>
      <c r="I69" s="168"/>
      <c r="P69" s="72"/>
      <c r="Q69" s="72"/>
    </row>
    <row r="70" spans="1:17" ht="19.5" customHeight="1">
      <c r="A70" s="36" t="s">
        <v>1103</v>
      </c>
      <c r="B70" s="232" t="s">
        <v>542</v>
      </c>
      <c r="C70" s="232" t="s">
        <v>419</v>
      </c>
      <c r="D70" s="55">
        <f>6558+1800+120</f>
        <v>8478</v>
      </c>
      <c r="E70" s="108"/>
      <c r="F70" s="77"/>
      <c r="G70" s="77"/>
      <c r="H70" s="77"/>
      <c r="I70" s="168"/>
      <c r="P70" s="72"/>
      <c r="Q70" s="72"/>
    </row>
    <row r="71" spans="1:17" ht="19.5" customHeight="1">
      <c r="A71" s="18" t="s">
        <v>243</v>
      </c>
      <c r="B71" s="232" t="s">
        <v>542</v>
      </c>
      <c r="C71" s="232" t="s">
        <v>244</v>
      </c>
      <c r="D71" s="55">
        <f>1031+715.5</f>
        <v>1746.5</v>
      </c>
      <c r="E71" s="108"/>
      <c r="F71" s="77"/>
      <c r="G71" s="77"/>
      <c r="H71" s="77"/>
      <c r="I71" s="168"/>
      <c r="P71" s="72"/>
      <c r="Q71" s="72"/>
    </row>
    <row r="72" spans="1:17" ht="15" customHeight="1">
      <c r="A72" s="158" t="s">
        <v>1189</v>
      </c>
      <c r="B72" s="232" t="s">
        <v>542</v>
      </c>
      <c r="C72" s="232" t="s">
        <v>1190</v>
      </c>
      <c r="D72" s="55">
        <f>D73</f>
        <v>86</v>
      </c>
      <c r="E72" s="108"/>
      <c r="F72" s="77"/>
      <c r="G72" s="77"/>
      <c r="H72" s="77"/>
      <c r="I72" s="168"/>
      <c r="P72" s="72"/>
      <c r="Q72" s="72"/>
    </row>
    <row r="73" spans="1:17" ht="15.75" customHeight="1">
      <c r="A73" s="158" t="s">
        <v>1059</v>
      </c>
      <c r="B73" s="232" t="s">
        <v>542</v>
      </c>
      <c r="C73" s="232" t="s">
        <v>1060</v>
      </c>
      <c r="D73" s="55">
        <f>86</f>
        <v>86</v>
      </c>
      <c r="E73" s="108"/>
      <c r="F73" s="77"/>
      <c r="G73" s="77"/>
      <c r="H73" s="77"/>
      <c r="I73" s="168"/>
      <c r="P73" s="72"/>
      <c r="Q73" s="72"/>
    </row>
    <row r="74" spans="1:17" ht="29.25" customHeight="1">
      <c r="A74" s="199" t="s">
        <v>1297</v>
      </c>
      <c r="B74" s="232" t="s">
        <v>1298</v>
      </c>
      <c r="C74" s="232"/>
      <c r="D74" s="55">
        <f>D75+D78</f>
        <v>43227</v>
      </c>
      <c r="E74" s="108"/>
      <c r="F74" s="77"/>
      <c r="G74" s="77"/>
      <c r="H74" s="77"/>
      <c r="I74" s="168"/>
      <c r="P74" s="72"/>
      <c r="Q74" s="72"/>
    </row>
    <row r="75" spans="1:17" ht="29.25" customHeight="1">
      <c r="A75" s="36" t="s">
        <v>803</v>
      </c>
      <c r="B75" s="232" t="s">
        <v>1247</v>
      </c>
      <c r="C75" s="232" t="s">
        <v>641</v>
      </c>
      <c r="D75" s="55">
        <f>D76</f>
        <v>1820</v>
      </c>
      <c r="E75" s="108"/>
      <c r="F75" s="77"/>
      <c r="G75" s="77"/>
      <c r="H75" s="77"/>
      <c r="I75" s="168"/>
      <c r="P75" s="72"/>
      <c r="Q75" s="72"/>
    </row>
    <row r="76" spans="1:17" ht="15" customHeight="1">
      <c r="A76" s="36" t="s">
        <v>1103</v>
      </c>
      <c r="B76" s="232" t="s">
        <v>1247</v>
      </c>
      <c r="C76" s="232" t="s">
        <v>419</v>
      </c>
      <c r="D76" s="55">
        <f>1820</f>
        <v>1820</v>
      </c>
      <c r="E76" s="108"/>
      <c r="F76" s="77"/>
      <c r="G76" s="77"/>
      <c r="H76" s="77"/>
      <c r="I76" s="168"/>
      <c r="P76" s="72"/>
      <c r="Q76" s="72"/>
    </row>
    <row r="77" spans="1:17" ht="29.25" customHeight="1">
      <c r="A77" s="36" t="s">
        <v>803</v>
      </c>
      <c r="B77" s="232" t="s">
        <v>1062</v>
      </c>
      <c r="C77" s="232" t="s">
        <v>641</v>
      </c>
      <c r="D77" s="55">
        <f>D78</f>
        <v>41407</v>
      </c>
      <c r="E77" s="108"/>
      <c r="F77" s="77"/>
      <c r="G77" s="77"/>
      <c r="H77" s="77"/>
      <c r="I77" s="168"/>
      <c r="P77" s="72"/>
      <c r="Q77" s="72"/>
    </row>
    <row r="78" spans="1:17" ht="19.5" customHeight="1">
      <c r="A78" s="36" t="s">
        <v>1103</v>
      </c>
      <c r="B78" s="232" t="s">
        <v>1062</v>
      </c>
      <c r="C78" s="232" t="s">
        <v>419</v>
      </c>
      <c r="D78" s="55">
        <f>43107-1700</f>
        <v>41407</v>
      </c>
      <c r="E78" s="108"/>
      <c r="F78" s="77"/>
      <c r="G78" s="77"/>
      <c r="H78" s="77"/>
      <c r="I78" s="168"/>
      <c r="P78" s="72"/>
      <c r="Q78" s="72"/>
    </row>
    <row r="79" spans="1:17" ht="34.5" customHeight="1">
      <c r="A79" s="197" t="s">
        <v>198</v>
      </c>
      <c r="B79" s="17" t="s">
        <v>1063</v>
      </c>
      <c r="C79" s="232"/>
      <c r="D79" s="55">
        <f>D80+D83</f>
        <v>102822</v>
      </c>
      <c r="E79" s="108"/>
      <c r="F79" s="77"/>
      <c r="G79" s="77"/>
      <c r="H79" s="77"/>
      <c r="I79" s="168"/>
      <c r="P79" s="72"/>
      <c r="Q79" s="72"/>
    </row>
    <row r="80" spans="1:17" ht="34.5" customHeight="1">
      <c r="A80" s="36" t="s">
        <v>803</v>
      </c>
      <c r="B80" s="17" t="s">
        <v>1244</v>
      </c>
      <c r="C80" s="232" t="s">
        <v>641</v>
      </c>
      <c r="D80" s="55">
        <f>D81</f>
        <v>3840</v>
      </c>
      <c r="E80" s="108"/>
      <c r="F80" s="77"/>
      <c r="G80" s="77"/>
      <c r="H80" s="77"/>
      <c r="I80" s="168"/>
      <c r="P80" s="72"/>
      <c r="Q80" s="72"/>
    </row>
    <row r="81" spans="1:17" ht="21" customHeight="1">
      <c r="A81" s="36" t="s">
        <v>1103</v>
      </c>
      <c r="B81" s="17" t="s">
        <v>1244</v>
      </c>
      <c r="C81" s="232" t="s">
        <v>419</v>
      </c>
      <c r="D81" s="55">
        <f>3840</f>
        <v>3840</v>
      </c>
      <c r="E81" s="108"/>
      <c r="F81" s="77"/>
      <c r="G81" s="77"/>
      <c r="H81" s="77"/>
      <c r="I81" s="168"/>
      <c r="P81" s="72"/>
      <c r="Q81" s="72"/>
    </row>
    <row r="82" spans="1:17" ht="31.5" customHeight="1">
      <c r="A82" s="36" t="s">
        <v>803</v>
      </c>
      <c r="B82" s="17" t="s">
        <v>60</v>
      </c>
      <c r="C82" s="232" t="s">
        <v>641</v>
      </c>
      <c r="D82" s="55">
        <f>D83</f>
        <v>98982</v>
      </c>
      <c r="E82" s="108"/>
      <c r="F82" s="77"/>
      <c r="G82" s="77"/>
      <c r="H82" s="77"/>
      <c r="I82" s="168"/>
      <c r="P82" s="72"/>
      <c r="Q82" s="72"/>
    </row>
    <row r="83" spans="1:17" ht="15.75" customHeight="1">
      <c r="A83" s="36" t="s">
        <v>1103</v>
      </c>
      <c r="B83" s="17" t="s">
        <v>60</v>
      </c>
      <c r="C83" s="232" t="s">
        <v>419</v>
      </c>
      <c r="D83" s="55">
        <f>96452+3330-800</f>
        <v>98982</v>
      </c>
      <c r="E83" s="108"/>
      <c r="F83" s="77"/>
      <c r="G83" s="77"/>
      <c r="H83" s="77"/>
      <c r="I83" s="168"/>
      <c r="P83" s="72"/>
      <c r="Q83" s="72"/>
    </row>
    <row r="84" spans="1:17" ht="38.25" customHeight="1">
      <c r="A84" s="33" t="s">
        <v>1351</v>
      </c>
      <c r="B84" s="17" t="s">
        <v>781</v>
      </c>
      <c r="C84" s="232"/>
      <c r="D84" s="55">
        <f>D85+D87+D89+D91+D93</f>
        <v>3777.8</v>
      </c>
      <c r="E84" s="108"/>
      <c r="F84" s="77"/>
      <c r="G84" s="77"/>
      <c r="H84" s="77"/>
      <c r="I84" s="168"/>
      <c r="P84" s="72"/>
      <c r="Q84" s="72"/>
    </row>
    <row r="85" spans="1:17" ht="28.5" customHeight="1">
      <c r="A85" s="36" t="s">
        <v>270</v>
      </c>
      <c r="B85" s="17" t="s">
        <v>1352</v>
      </c>
      <c r="C85" s="232" t="s">
        <v>312</v>
      </c>
      <c r="D85" s="55">
        <f>D86</f>
        <v>939.2</v>
      </c>
      <c r="E85" s="108"/>
      <c r="F85" s="77"/>
      <c r="G85" s="77"/>
      <c r="H85" s="77"/>
      <c r="I85" s="168"/>
      <c r="P85" s="72"/>
      <c r="Q85" s="72"/>
    </row>
    <row r="86" spans="1:17" ht="39.75" customHeight="1">
      <c r="A86" s="36" t="s">
        <v>1175</v>
      </c>
      <c r="B86" s="17" t="s">
        <v>1352</v>
      </c>
      <c r="C86" s="232" t="s">
        <v>1174</v>
      </c>
      <c r="D86" s="55">
        <f>849.2+90</f>
        <v>939.2</v>
      </c>
      <c r="E86" s="108"/>
      <c r="F86" s="77"/>
      <c r="G86" s="77"/>
      <c r="H86" s="77"/>
      <c r="I86" s="168"/>
      <c r="P86" s="72"/>
      <c r="Q86" s="72"/>
    </row>
    <row r="87" spans="1:17" ht="26.25" customHeight="1">
      <c r="A87" s="36" t="s">
        <v>803</v>
      </c>
      <c r="B87" s="17" t="s">
        <v>1352</v>
      </c>
      <c r="C87" s="232" t="s">
        <v>641</v>
      </c>
      <c r="D87" s="55">
        <f>D88</f>
        <v>2685.6</v>
      </c>
      <c r="E87" s="108"/>
      <c r="F87" s="77"/>
      <c r="G87" s="77"/>
      <c r="H87" s="77"/>
      <c r="I87" s="168"/>
      <c r="P87" s="72"/>
      <c r="Q87" s="72"/>
    </row>
    <row r="88" spans="1:17" ht="12.75" customHeight="1">
      <c r="A88" s="36" t="s">
        <v>1103</v>
      </c>
      <c r="B88" s="17" t="s">
        <v>1352</v>
      </c>
      <c r="C88" s="232" t="s">
        <v>419</v>
      </c>
      <c r="D88" s="55">
        <f>2076.6+609</f>
        <v>2685.6</v>
      </c>
      <c r="E88" s="108"/>
      <c r="F88" s="77"/>
      <c r="G88" s="77"/>
      <c r="H88" s="77"/>
      <c r="I88" s="168"/>
      <c r="P88" s="72"/>
      <c r="Q88" s="72"/>
    </row>
    <row r="89" spans="1:17" ht="20.25" customHeight="1">
      <c r="A89" s="36" t="s">
        <v>803</v>
      </c>
      <c r="B89" s="17" t="s">
        <v>774</v>
      </c>
      <c r="C89" s="232" t="s">
        <v>641</v>
      </c>
      <c r="D89" s="55">
        <f>D90</f>
        <v>25</v>
      </c>
      <c r="E89" s="108"/>
      <c r="F89" s="77"/>
      <c r="G89" s="77"/>
      <c r="H89" s="77"/>
      <c r="I89" s="168"/>
      <c r="P89" s="72"/>
      <c r="Q89" s="72"/>
    </row>
    <row r="90" spans="1:17" ht="12.75" customHeight="1">
      <c r="A90" s="36" t="s">
        <v>1103</v>
      </c>
      <c r="B90" s="17" t="s">
        <v>774</v>
      </c>
      <c r="C90" s="232" t="s">
        <v>419</v>
      </c>
      <c r="D90" s="55">
        <f>25</f>
        <v>25</v>
      </c>
      <c r="E90" s="108"/>
      <c r="F90" s="77"/>
      <c r="G90" s="77"/>
      <c r="H90" s="77"/>
      <c r="I90" s="168"/>
      <c r="P90" s="72"/>
      <c r="Q90" s="72"/>
    </row>
    <row r="91" spans="1:17" ht="24" customHeight="1">
      <c r="A91" s="36" t="s">
        <v>803</v>
      </c>
      <c r="B91" s="17" t="s">
        <v>18</v>
      </c>
      <c r="C91" s="232" t="s">
        <v>641</v>
      </c>
      <c r="D91" s="55">
        <f>D92</f>
        <v>100</v>
      </c>
      <c r="E91" s="108"/>
      <c r="F91" s="77"/>
      <c r="G91" s="77"/>
      <c r="H91" s="77"/>
      <c r="I91" s="168"/>
      <c r="P91" s="72"/>
      <c r="Q91" s="72"/>
    </row>
    <row r="92" spans="1:17" ht="12.75" customHeight="1">
      <c r="A92" s="36" t="s">
        <v>1103</v>
      </c>
      <c r="B92" s="17" t="s">
        <v>18</v>
      </c>
      <c r="C92" s="232" t="s">
        <v>419</v>
      </c>
      <c r="D92" s="55">
        <v>100</v>
      </c>
      <c r="E92" s="108"/>
      <c r="F92" s="77"/>
      <c r="G92" s="77"/>
      <c r="H92" s="77"/>
      <c r="I92" s="168"/>
      <c r="P92" s="72"/>
      <c r="Q92" s="72"/>
    </row>
    <row r="93" spans="1:17" ht="19.5" customHeight="1">
      <c r="A93" s="36" t="s">
        <v>803</v>
      </c>
      <c r="B93" s="17" t="s">
        <v>902</v>
      </c>
      <c r="C93" s="232" t="s">
        <v>641</v>
      </c>
      <c r="D93" s="55">
        <f>D94</f>
        <v>28</v>
      </c>
      <c r="E93" s="108"/>
      <c r="F93" s="77"/>
      <c r="G93" s="77"/>
      <c r="H93" s="77"/>
      <c r="I93" s="168"/>
      <c r="P93" s="72"/>
      <c r="Q93" s="72"/>
    </row>
    <row r="94" spans="1:17" ht="12.75" customHeight="1">
      <c r="A94" s="36" t="s">
        <v>1103</v>
      </c>
      <c r="B94" s="17" t="s">
        <v>902</v>
      </c>
      <c r="C94" s="232" t="s">
        <v>419</v>
      </c>
      <c r="D94" s="55">
        <f>28</f>
        <v>28</v>
      </c>
      <c r="E94" s="108"/>
      <c r="F94" s="77"/>
      <c r="G94" s="77"/>
      <c r="H94" s="77"/>
      <c r="I94" s="168"/>
      <c r="P94" s="72"/>
      <c r="Q94" s="72"/>
    </row>
    <row r="95" spans="1:17" ht="38.25" customHeight="1">
      <c r="A95" s="32" t="s">
        <v>895</v>
      </c>
      <c r="B95" s="17" t="s">
        <v>1301</v>
      </c>
      <c r="C95" s="232"/>
      <c r="D95" s="55">
        <f>D96+D99+D101+D103+D105+D107</f>
        <v>102913</v>
      </c>
      <c r="E95" s="108"/>
      <c r="F95" s="77"/>
      <c r="G95" s="77"/>
      <c r="H95" s="77"/>
      <c r="I95" s="168"/>
      <c r="P95" s="72"/>
      <c r="Q95" s="72"/>
    </row>
    <row r="96" spans="1:17" ht="27.75" customHeight="1">
      <c r="A96" s="36" t="s">
        <v>803</v>
      </c>
      <c r="B96" s="17" t="s">
        <v>246</v>
      </c>
      <c r="C96" s="232" t="s">
        <v>641</v>
      </c>
      <c r="D96" s="55">
        <f>D97</f>
        <v>566</v>
      </c>
      <c r="E96" s="108"/>
      <c r="F96" s="77"/>
      <c r="G96" s="77"/>
      <c r="H96" s="77"/>
      <c r="I96" s="168"/>
      <c r="P96" s="72"/>
      <c r="Q96" s="72"/>
    </row>
    <row r="97" spans="1:17" ht="16.5" customHeight="1">
      <c r="A97" s="36" t="s">
        <v>1103</v>
      </c>
      <c r="B97" s="17" t="s">
        <v>246</v>
      </c>
      <c r="C97" s="232" t="s">
        <v>419</v>
      </c>
      <c r="D97" s="55">
        <f>566</f>
        <v>566</v>
      </c>
      <c r="E97" s="108"/>
      <c r="F97" s="77"/>
      <c r="G97" s="77"/>
      <c r="H97" s="77"/>
      <c r="I97" s="168"/>
      <c r="P97" s="72"/>
      <c r="Q97" s="72"/>
    </row>
    <row r="98" spans="1:17" ht="52.5" customHeight="1">
      <c r="A98" s="64" t="s">
        <v>804</v>
      </c>
      <c r="B98" s="17" t="s">
        <v>1302</v>
      </c>
      <c r="C98" s="232" t="s">
        <v>21</v>
      </c>
      <c r="D98" s="55">
        <f>D99</f>
        <v>11892</v>
      </c>
      <c r="E98" s="108"/>
      <c r="F98" s="77"/>
      <c r="G98" s="77"/>
      <c r="H98" s="77"/>
      <c r="I98" s="168"/>
      <c r="P98" s="72"/>
      <c r="Q98" s="72"/>
    </row>
    <row r="99" spans="1:17" ht="24" customHeight="1">
      <c r="A99" s="36" t="s">
        <v>34</v>
      </c>
      <c r="B99" s="17" t="s">
        <v>1302</v>
      </c>
      <c r="C99" s="232" t="s">
        <v>416</v>
      </c>
      <c r="D99" s="55">
        <f>14084-1999-90-13-90</f>
        <v>11892</v>
      </c>
      <c r="E99" s="108"/>
      <c r="F99" s="77"/>
      <c r="G99" s="77"/>
      <c r="H99" s="77"/>
      <c r="I99" s="168"/>
      <c r="P99" s="72"/>
      <c r="Q99" s="72"/>
    </row>
    <row r="100" spans="1:17" ht="24" customHeight="1">
      <c r="A100" s="36" t="s">
        <v>486</v>
      </c>
      <c r="B100" s="17" t="s">
        <v>1302</v>
      </c>
      <c r="C100" s="232" t="s">
        <v>402</v>
      </c>
      <c r="D100" s="55">
        <f>D101</f>
        <v>1186</v>
      </c>
      <c r="E100" s="108"/>
      <c r="F100" s="77"/>
      <c r="G100" s="77"/>
      <c r="H100" s="77"/>
      <c r="I100" s="168"/>
      <c r="P100" s="72"/>
      <c r="Q100" s="72"/>
    </row>
    <row r="101" spans="1:17" ht="15.75" customHeight="1">
      <c r="A101" s="158" t="s">
        <v>471</v>
      </c>
      <c r="B101" s="17" t="s">
        <v>1302</v>
      </c>
      <c r="C101" s="232" t="s">
        <v>1333</v>
      </c>
      <c r="D101" s="55">
        <f>1173+13</f>
        <v>1186</v>
      </c>
      <c r="E101" s="108"/>
      <c r="F101" s="77"/>
      <c r="G101" s="77"/>
      <c r="H101" s="77"/>
      <c r="I101" s="168"/>
      <c r="P101" s="72"/>
      <c r="Q101" s="72"/>
    </row>
    <row r="102" spans="1:17" ht="21.75" customHeight="1">
      <c r="A102" s="158" t="s">
        <v>1189</v>
      </c>
      <c r="B102" s="17" t="s">
        <v>1302</v>
      </c>
      <c r="C102" s="232" t="s">
        <v>1190</v>
      </c>
      <c r="D102" s="55">
        <f>D103</f>
        <v>176</v>
      </c>
      <c r="E102" s="108"/>
      <c r="F102" s="77"/>
      <c r="G102" s="77"/>
      <c r="H102" s="77"/>
      <c r="I102" s="168"/>
      <c r="P102" s="72"/>
      <c r="Q102" s="72"/>
    </row>
    <row r="103" spans="1:17" ht="19.5" customHeight="1">
      <c r="A103" s="158" t="s">
        <v>1059</v>
      </c>
      <c r="B103" s="17" t="s">
        <v>1302</v>
      </c>
      <c r="C103" s="232" t="s">
        <v>1060</v>
      </c>
      <c r="D103" s="55">
        <f>176</f>
        <v>176</v>
      </c>
      <c r="E103" s="108"/>
      <c r="F103" s="77"/>
      <c r="G103" s="77"/>
      <c r="H103" s="77"/>
      <c r="I103" s="168"/>
      <c r="P103" s="72"/>
      <c r="Q103" s="72"/>
    </row>
    <row r="104" spans="1:17" ht="28.5" customHeight="1" hidden="1">
      <c r="A104" s="158" t="s">
        <v>270</v>
      </c>
      <c r="B104" s="17" t="s">
        <v>200</v>
      </c>
      <c r="C104" s="232" t="s">
        <v>312</v>
      </c>
      <c r="D104" s="55">
        <f>D105</f>
        <v>0</v>
      </c>
      <c r="E104" s="108"/>
      <c r="F104" s="77"/>
      <c r="G104" s="77"/>
      <c r="H104" s="77"/>
      <c r="I104" s="168"/>
      <c r="P104" s="72"/>
      <c r="Q104" s="72"/>
    </row>
    <row r="105" spans="1:17" ht="36" customHeight="1" hidden="1">
      <c r="A105" s="18" t="s">
        <v>470</v>
      </c>
      <c r="B105" s="17" t="s">
        <v>200</v>
      </c>
      <c r="C105" s="232" t="s">
        <v>1299</v>
      </c>
      <c r="D105" s="55"/>
      <c r="E105" s="108"/>
      <c r="F105" s="77"/>
      <c r="G105" s="77"/>
      <c r="H105" s="77"/>
      <c r="I105" s="168"/>
      <c r="P105" s="72"/>
      <c r="Q105" s="72"/>
    </row>
    <row r="106" spans="1:17" ht="36" customHeight="1">
      <c r="A106" s="36" t="s">
        <v>803</v>
      </c>
      <c r="B106" s="17" t="s">
        <v>1303</v>
      </c>
      <c r="C106" s="232" t="s">
        <v>641</v>
      </c>
      <c r="D106" s="55">
        <f>D107</f>
        <v>89093</v>
      </c>
      <c r="E106" s="108"/>
      <c r="F106" s="77"/>
      <c r="G106" s="77"/>
      <c r="H106" s="77"/>
      <c r="I106" s="168"/>
      <c r="P106" s="72"/>
      <c r="Q106" s="72"/>
    </row>
    <row r="107" spans="1:17" ht="19.5" customHeight="1">
      <c r="A107" s="36" t="s">
        <v>1103</v>
      </c>
      <c r="B107" s="17" t="s">
        <v>1303</v>
      </c>
      <c r="C107" s="232" t="s">
        <v>419</v>
      </c>
      <c r="D107" s="55">
        <f>89093</f>
        <v>89093</v>
      </c>
      <c r="E107" s="108"/>
      <c r="F107" s="77"/>
      <c r="G107" s="77"/>
      <c r="H107" s="77"/>
      <c r="I107" s="168"/>
      <c r="P107" s="72"/>
      <c r="Q107" s="72"/>
    </row>
    <row r="108" spans="1:17" ht="30.75" customHeight="1">
      <c r="A108" s="215" t="s">
        <v>798</v>
      </c>
      <c r="B108" s="239" t="s">
        <v>1376</v>
      </c>
      <c r="C108" s="246"/>
      <c r="D108" s="201">
        <f>D109+D122+D154+D170+D208+D193</f>
        <v>2202504.8000000003</v>
      </c>
      <c r="E108" s="108"/>
      <c r="F108" s="77"/>
      <c r="G108" s="77"/>
      <c r="H108" s="77"/>
      <c r="I108" s="168"/>
      <c r="P108" s="72"/>
      <c r="Q108" s="72"/>
    </row>
    <row r="109" spans="1:17" ht="41.25" customHeight="1">
      <c r="A109" s="33" t="s">
        <v>1377</v>
      </c>
      <c r="B109" s="17" t="s">
        <v>799</v>
      </c>
      <c r="C109" s="232"/>
      <c r="D109" s="55">
        <f>D110+D113+D115+D117+D119</f>
        <v>742491.4</v>
      </c>
      <c r="E109" s="108"/>
      <c r="F109" s="77"/>
      <c r="G109" s="77"/>
      <c r="H109" s="77"/>
      <c r="I109" s="168"/>
      <c r="P109" s="72"/>
      <c r="Q109" s="72"/>
    </row>
    <row r="110" spans="1:17" ht="27.75" customHeight="1">
      <c r="A110" s="36" t="s">
        <v>803</v>
      </c>
      <c r="B110" s="17" t="s">
        <v>1378</v>
      </c>
      <c r="C110" s="232" t="s">
        <v>641</v>
      </c>
      <c r="D110" s="55">
        <f>SUM(D111:D112)</f>
        <v>403940</v>
      </c>
      <c r="E110" s="108"/>
      <c r="F110" s="77"/>
      <c r="G110" s="77"/>
      <c r="H110" s="77"/>
      <c r="I110" s="168"/>
      <c r="P110" s="72"/>
      <c r="Q110" s="72"/>
    </row>
    <row r="111" spans="1:17" ht="19.5" customHeight="1">
      <c r="A111" s="36" t="s">
        <v>1103</v>
      </c>
      <c r="B111" s="17" t="s">
        <v>1378</v>
      </c>
      <c r="C111" s="232" t="s">
        <v>419</v>
      </c>
      <c r="D111" s="55">
        <f>23482</f>
        <v>23482</v>
      </c>
      <c r="E111" s="108"/>
      <c r="F111" s="77"/>
      <c r="G111" s="77"/>
      <c r="H111" s="77"/>
      <c r="I111" s="168"/>
      <c r="P111" s="72"/>
      <c r="Q111" s="72"/>
    </row>
    <row r="112" spans="1:17" ht="19.5" customHeight="1">
      <c r="A112" s="36" t="s">
        <v>243</v>
      </c>
      <c r="B112" s="17" t="s">
        <v>1378</v>
      </c>
      <c r="C112" s="232" t="s">
        <v>244</v>
      </c>
      <c r="D112" s="55">
        <f>379747+711</f>
        <v>380458</v>
      </c>
      <c r="E112" s="108"/>
      <c r="F112" s="77"/>
      <c r="G112" s="77"/>
      <c r="H112" s="77"/>
      <c r="I112" s="168"/>
      <c r="P112" s="72"/>
      <c r="Q112" s="72"/>
    </row>
    <row r="113" spans="1:17" ht="28.5" customHeight="1">
      <c r="A113" s="36" t="s">
        <v>803</v>
      </c>
      <c r="B113" s="17" t="s">
        <v>1379</v>
      </c>
      <c r="C113" s="232" t="s">
        <v>641</v>
      </c>
      <c r="D113" s="55">
        <f>D114</f>
        <v>4645</v>
      </c>
      <c r="E113" s="108"/>
      <c r="F113" s="77"/>
      <c r="G113" s="77"/>
      <c r="H113" s="77"/>
      <c r="I113" s="168"/>
      <c r="P113" s="72"/>
      <c r="Q113" s="72"/>
    </row>
    <row r="114" spans="1:17" ht="27.75" customHeight="1">
      <c r="A114" s="36" t="s">
        <v>562</v>
      </c>
      <c r="B114" s="17" t="s">
        <v>1379</v>
      </c>
      <c r="C114" s="232" t="s">
        <v>1078</v>
      </c>
      <c r="D114" s="55">
        <f>4197-2067+2515</f>
        <v>4645</v>
      </c>
      <c r="E114" s="108"/>
      <c r="F114" s="77"/>
      <c r="G114" s="77"/>
      <c r="H114" s="77"/>
      <c r="I114" s="168"/>
      <c r="P114" s="72"/>
      <c r="Q114" s="72"/>
    </row>
    <row r="115" spans="1:17" ht="27" customHeight="1">
      <c r="A115" s="36" t="s">
        <v>803</v>
      </c>
      <c r="B115" s="17" t="s">
        <v>795</v>
      </c>
      <c r="C115" s="232" t="s">
        <v>641</v>
      </c>
      <c r="D115" s="55">
        <f>D116</f>
        <v>500</v>
      </c>
      <c r="E115" s="108"/>
      <c r="F115" s="77"/>
      <c r="G115" s="77"/>
      <c r="H115" s="77"/>
      <c r="I115" s="168"/>
      <c r="P115" s="72"/>
      <c r="Q115" s="72"/>
    </row>
    <row r="116" spans="1:17" ht="17.25" customHeight="1">
      <c r="A116" s="36" t="s">
        <v>243</v>
      </c>
      <c r="B116" s="17" t="s">
        <v>795</v>
      </c>
      <c r="C116" s="232" t="s">
        <v>244</v>
      </c>
      <c r="D116" s="55">
        <v>500</v>
      </c>
      <c r="E116" s="108"/>
      <c r="F116" s="77"/>
      <c r="G116" s="77"/>
      <c r="H116" s="77"/>
      <c r="I116" s="168"/>
      <c r="P116" s="72"/>
      <c r="Q116" s="72"/>
    </row>
    <row r="117" spans="1:17" ht="15.75" customHeight="1">
      <c r="A117" s="36" t="s">
        <v>405</v>
      </c>
      <c r="B117" s="54" t="s">
        <v>443</v>
      </c>
      <c r="C117" s="232" t="s">
        <v>406</v>
      </c>
      <c r="D117" s="55">
        <f>D118</f>
        <v>34255</v>
      </c>
      <c r="E117" s="108"/>
      <c r="F117" s="77"/>
      <c r="G117" s="77"/>
      <c r="H117" s="77"/>
      <c r="I117" s="168"/>
      <c r="P117" s="72"/>
      <c r="Q117" s="72"/>
    </row>
    <row r="118" spans="1:17" ht="26.25" customHeight="1">
      <c r="A118" s="36" t="s">
        <v>873</v>
      </c>
      <c r="B118" s="54" t="s">
        <v>443</v>
      </c>
      <c r="C118" s="54" t="s">
        <v>1015</v>
      </c>
      <c r="D118" s="55">
        <f>38788-4027-506</f>
        <v>34255</v>
      </c>
      <c r="E118" s="108"/>
      <c r="F118" s="77"/>
      <c r="G118" s="77"/>
      <c r="H118" s="77"/>
      <c r="I118" s="168"/>
      <c r="P118" s="72"/>
      <c r="Q118" s="72"/>
    </row>
    <row r="119" spans="1:17" ht="27.75" customHeight="1">
      <c r="A119" s="36" t="s">
        <v>803</v>
      </c>
      <c r="B119" s="17" t="s">
        <v>1382</v>
      </c>
      <c r="C119" s="54" t="s">
        <v>641</v>
      </c>
      <c r="D119" s="55">
        <f>SUM(D120:D121)</f>
        <v>299151.4</v>
      </c>
      <c r="E119" s="108"/>
      <c r="F119" s="77"/>
      <c r="G119" s="77"/>
      <c r="H119" s="77"/>
      <c r="I119" s="168"/>
      <c r="P119" s="72"/>
      <c r="Q119" s="72"/>
    </row>
    <row r="120" spans="1:17" ht="17.25" customHeight="1">
      <c r="A120" s="36" t="s">
        <v>1103</v>
      </c>
      <c r="B120" s="17" t="s">
        <v>1382</v>
      </c>
      <c r="C120" s="232" t="s">
        <v>419</v>
      </c>
      <c r="D120" s="55">
        <f>25352+750-2404</f>
        <v>23698</v>
      </c>
      <c r="E120" s="108"/>
      <c r="F120" s="77"/>
      <c r="G120" s="77"/>
      <c r="H120" s="77"/>
      <c r="I120" s="168"/>
      <c r="P120" s="72"/>
      <c r="Q120" s="72"/>
    </row>
    <row r="121" spans="1:17" ht="15">
      <c r="A121" s="36" t="s">
        <v>243</v>
      </c>
      <c r="B121" s="17" t="s">
        <v>1382</v>
      </c>
      <c r="C121" s="54" t="s">
        <v>244</v>
      </c>
      <c r="D121" s="55">
        <f>275564-110.6</f>
        <v>275453.4</v>
      </c>
      <c r="E121" s="128"/>
      <c r="F121" s="73"/>
      <c r="P121" s="72"/>
      <c r="Q121" s="72"/>
    </row>
    <row r="122" spans="1:17" ht="24">
      <c r="A122" s="177" t="s">
        <v>831</v>
      </c>
      <c r="B122" s="163" t="s">
        <v>1383</v>
      </c>
      <c r="C122" s="247"/>
      <c r="D122" s="231">
        <f>D123+D125+D128+D130+D134+D136+D139+D141+D144+D146+D148+D151</f>
        <v>1074172.1</v>
      </c>
      <c r="F122" s="73"/>
      <c r="P122" s="72"/>
      <c r="Q122" s="72"/>
    </row>
    <row r="123" spans="1:17" ht="15">
      <c r="A123" s="36" t="s">
        <v>126</v>
      </c>
      <c r="B123" s="176" t="s">
        <v>125</v>
      </c>
      <c r="C123" s="163">
        <v>600</v>
      </c>
      <c r="D123" s="231">
        <f>D124</f>
        <v>4967.6</v>
      </c>
      <c r="F123" s="73"/>
      <c r="P123" s="72"/>
      <c r="Q123" s="72"/>
    </row>
    <row r="124" spans="1:17" ht="15">
      <c r="A124" s="36" t="s">
        <v>243</v>
      </c>
      <c r="B124" s="176" t="s">
        <v>125</v>
      </c>
      <c r="C124" s="163">
        <v>620</v>
      </c>
      <c r="D124" s="231">
        <f>4967.6</f>
        <v>4967.6</v>
      </c>
      <c r="F124" s="73"/>
      <c r="P124" s="72"/>
      <c r="Q124" s="72"/>
    </row>
    <row r="125" spans="1:17" ht="25.5" customHeight="1">
      <c r="A125" s="36" t="s">
        <v>803</v>
      </c>
      <c r="B125" s="54" t="s">
        <v>1384</v>
      </c>
      <c r="C125" s="163">
        <v>600</v>
      </c>
      <c r="D125" s="231">
        <f>SUM(D126:D127)</f>
        <v>857905</v>
      </c>
      <c r="F125" s="73"/>
      <c r="P125" s="72"/>
      <c r="Q125" s="72"/>
    </row>
    <row r="126" spans="1:17" ht="18.75" customHeight="1">
      <c r="A126" s="36" t="s">
        <v>1103</v>
      </c>
      <c r="B126" s="54" t="s">
        <v>1384</v>
      </c>
      <c r="C126" s="54" t="s">
        <v>419</v>
      </c>
      <c r="D126" s="55">
        <f>28796.9</f>
        <v>28796.9</v>
      </c>
      <c r="F126" s="73"/>
      <c r="P126" s="72"/>
      <c r="Q126" s="72"/>
    </row>
    <row r="127" spans="1:17" ht="17.25" customHeight="1">
      <c r="A127" s="36" t="s">
        <v>243</v>
      </c>
      <c r="B127" s="54" t="s">
        <v>1384</v>
      </c>
      <c r="C127" s="54" t="s">
        <v>244</v>
      </c>
      <c r="D127" s="55">
        <f>807451.1+3657+13500+4500</f>
        <v>829108.1</v>
      </c>
      <c r="F127" s="73"/>
      <c r="P127" s="72"/>
      <c r="Q127" s="72"/>
    </row>
    <row r="128" spans="1:17" ht="27" customHeight="1">
      <c r="A128" s="36" t="s">
        <v>803</v>
      </c>
      <c r="B128" s="54" t="s">
        <v>250</v>
      </c>
      <c r="C128" s="54" t="s">
        <v>641</v>
      </c>
      <c r="D128" s="55">
        <f>D129</f>
        <v>18559</v>
      </c>
      <c r="F128" s="73"/>
      <c r="P128" s="72"/>
      <c r="Q128" s="72"/>
    </row>
    <row r="129" spans="1:17" ht="28.5" customHeight="1">
      <c r="A129" s="36" t="s">
        <v>562</v>
      </c>
      <c r="B129" s="54" t="s">
        <v>250</v>
      </c>
      <c r="C129" s="54" t="s">
        <v>1078</v>
      </c>
      <c r="D129" s="55">
        <f>18487+72</f>
        <v>18559</v>
      </c>
      <c r="F129" s="73"/>
      <c r="P129" s="72"/>
      <c r="Q129" s="72"/>
    </row>
    <row r="130" spans="1:17" ht="28.5" customHeight="1">
      <c r="A130" s="36" t="s">
        <v>803</v>
      </c>
      <c r="B130" s="54" t="s">
        <v>1387</v>
      </c>
      <c r="C130" s="54" t="s">
        <v>641</v>
      </c>
      <c r="D130" s="55">
        <f>SUM(D131:D133)</f>
        <v>37873</v>
      </c>
      <c r="F130" s="73"/>
      <c r="P130" s="72"/>
      <c r="Q130" s="72"/>
    </row>
    <row r="131" spans="1:17" ht="15">
      <c r="A131" s="36" t="s">
        <v>1103</v>
      </c>
      <c r="B131" s="54" t="s">
        <v>1387</v>
      </c>
      <c r="C131" s="54" t="s">
        <v>419</v>
      </c>
      <c r="D131" s="55">
        <f>280</f>
        <v>280</v>
      </c>
      <c r="F131" s="73"/>
      <c r="P131" s="72"/>
      <c r="Q131" s="72"/>
    </row>
    <row r="132" spans="1:17" ht="15">
      <c r="A132" s="36" t="s">
        <v>243</v>
      </c>
      <c r="B132" s="54" t="s">
        <v>1387</v>
      </c>
      <c r="C132" s="54" t="s">
        <v>244</v>
      </c>
      <c r="D132" s="55">
        <f>36950</f>
        <v>36950</v>
      </c>
      <c r="F132" s="73"/>
      <c r="P132" s="72"/>
      <c r="Q132" s="72"/>
    </row>
    <row r="133" spans="1:17" ht="28.5" customHeight="1">
      <c r="A133" s="36" t="s">
        <v>562</v>
      </c>
      <c r="B133" s="54" t="s">
        <v>1387</v>
      </c>
      <c r="C133" s="54" t="s">
        <v>1078</v>
      </c>
      <c r="D133" s="55">
        <f>643</f>
        <v>643</v>
      </c>
      <c r="F133" s="73"/>
      <c r="P133" s="72"/>
      <c r="Q133" s="72"/>
    </row>
    <row r="134" spans="1:17" ht="23.25" customHeight="1">
      <c r="A134" s="36" t="s">
        <v>405</v>
      </c>
      <c r="B134" s="54" t="s">
        <v>1388</v>
      </c>
      <c r="C134" s="54" t="s">
        <v>406</v>
      </c>
      <c r="D134" s="55">
        <f>D135</f>
        <v>496</v>
      </c>
      <c r="F134" s="73"/>
      <c r="P134" s="72"/>
      <c r="Q134" s="72"/>
    </row>
    <row r="135" spans="1:17" ht="24">
      <c r="A135" s="36" t="s">
        <v>873</v>
      </c>
      <c r="B135" s="54" t="s">
        <v>1388</v>
      </c>
      <c r="C135" s="54" t="s">
        <v>1015</v>
      </c>
      <c r="D135" s="55">
        <f>496</f>
        <v>496</v>
      </c>
      <c r="F135" s="73"/>
      <c r="P135" s="72"/>
      <c r="Q135" s="72"/>
    </row>
    <row r="136" spans="1:17" ht="25.5" customHeight="1">
      <c r="A136" s="36" t="s">
        <v>803</v>
      </c>
      <c r="B136" s="54" t="s">
        <v>832</v>
      </c>
      <c r="C136" s="54" t="s">
        <v>641</v>
      </c>
      <c r="D136" s="55">
        <f>SUM(D137:D138)</f>
        <v>9019</v>
      </c>
      <c r="F136" s="73"/>
      <c r="P136" s="72"/>
      <c r="Q136" s="72"/>
    </row>
    <row r="137" spans="1:17" ht="17.25" customHeight="1">
      <c r="A137" s="36" t="s">
        <v>1103</v>
      </c>
      <c r="B137" s="54" t="s">
        <v>832</v>
      </c>
      <c r="C137" s="54" t="s">
        <v>419</v>
      </c>
      <c r="D137" s="20">
        <f>181</f>
        <v>181</v>
      </c>
      <c r="F137" s="73"/>
      <c r="P137" s="72"/>
      <c r="Q137" s="72"/>
    </row>
    <row r="138" spans="1:17" ht="18" customHeight="1">
      <c r="A138" s="36" t="s">
        <v>243</v>
      </c>
      <c r="B138" s="54" t="s">
        <v>832</v>
      </c>
      <c r="C138" s="54" t="s">
        <v>244</v>
      </c>
      <c r="D138" s="20">
        <f>8838</f>
        <v>8838</v>
      </c>
      <c r="F138" s="73"/>
      <c r="P138" s="72"/>
      <c r="Q138" s="72"/>
    </row>
    <row r="139" spans="1:17" ht="26.25" customHeight="1">
      <c r="A139" s="36" t="s">
        <v>459</v>
      </c>
      <c r="B139" s="17" t="s">
        <v>628</v>
      </c>
      <c r="C139" s="17" t="s">
        <v>641</v>
      </c>
      <c r="D139" s="20">
        <f>D140</f>
        <v>204</v>
      </c>
      <c r="F139" s="73"/>
      <c r="P139" s="72"/>
      <c r="Q139" s="72"/>
    </row>
    <row r="140" spans="1:17" ht="19.5" customHeight="1">
      <c r="A140" s="18" t="s">
        <v>243</v>
      </c>
      <c r="B140" s="17" t="s">
        <v>628</v>
      </c>
      <c r="C140" s="17" t="s">
        <v>244</v>
      </c>
      <c r="D140" s="20">
        <f>204</f>
        <v>204</v>
      </c>
      <c r="F140" s="73"/>
      <c r="P140" s="72"/>
      <c r="Q140" s="72"/>
    </row>
    <row r="141" spans="1:17" ht="27" customHeight="1">
      <c r="A141" s="36" t="s">
        <v>803</v>
      </c>
      <c r="B141" s="54" t="s">
        <v>360</v>
      </c>
      <c r="C141" s="54" t="s">
        <v>641</v>
      </c>
      <c r="D141" s="20">
        <f>D142+D143</f>
        <v>791</v>
      </c>
      <c r="F141" s="73"/>
      <c r="P141" s="72"/>
      <c r="Q141" s="72"/>
    </row>
    <row r="142" spans="1:17" ht="18.75" customHeight="1">
      <c r="A142" s="36" t="s">
        <v>1103</v>
      </c>
      <c r="B142" s="54" t="s">
        <v>360</v>
      </c>
      <c r="C142" s="54" t="s">
        <v>419</v>
      </c>
      <c r="D142" s="20">
        <f>269.5</f>
        <v>269.5</v>
      </c>
      <c r="F142" s="73"/>
      <c r="P142" s="72"/>
      <c r="Q142" s="72"/>
    </row>
    <row r="143" spans="1:17" ht="15">
      <c r="A143" s="36" t="s">
        <v>243</v>
      </c>
      <c r="B143" s="54" t="s">
        <v>360</v>
      </c>
      <c r="C143" s="54" t="s">
        <v>244</v>
      </c>
      <c r="D143" s="20">
        <f>521.5</f>
        <v>521.5</v>
      </c>
      <c r="F143" s="73"/>
      <c r="P143" s="72"/>
      <c r="Q143" s="72"/>
    </row>
    <row r="144" spans="1:17" ht="26.25" customHeight="1">
      <c r="A144" s="36" t="s">
        <v>459</v>
      </c>
      <c r="B144" s="17" t="s">
        <v>610</v>
      </c>
      <c r="C144" s="17" t="s">
        <v>641</v>
      </c>
      <c r="D144" s="20">
        <f>D145</f>
        <v>2000</v>
      </c>
      <c r="F144" s="73"/>
      <c r="P144" s="72"/>
      <c r="Q144" s="72"/>
    </row>
    <row r="145" spans="1:17" ht="15">
      <c r="A145" s="18" t="s">
        <v>243</v>
      </c>
      <c r="B145" s="17" t="s">
        <v>610</v>
      </c>
      <c r="C145" s="17" t="s">
        <v>244</v>
      </c>
      <c r="D145" s="20">
        <f>2000</f>
        <v>2000</v>
      </c>
      <c r="F145" s="73"/>
      <c r="P145" s="72"/>
      <c r="Q145" s="72"/>
    </row>
    <row r="146" spans="1:17" ht="15.75" customHeight="1">
      <c r="A146" s="36" t="s">
        <v>405</v>
      </c>
      <c r="B146" s="54" t="s">
        <v>569</v>
      </c>
      <c r="C146" s="54" t="s">
        <v>406</v>
      </c>
      <c r="D146" s="20">
        <f>D147</f>
        <v>3000</v>
      </c>
      <c r="F146" s="73"/>
      <c r="P146" s="72"/>
      <c r="Q146" s="72"/>
    </row>
    <row r="147" spans="1:17" ht="24">
      <c r="A147" s="36" t="s">
        <v>873</v>
      </c>
      <c r="B147" s="54" t="s">
        <v>569</v>
      </c>
      <c r="C147" s="54" t="s">
        <v>1015</v>
      </c>
      <c r="D147" s="20">
        <f>3000</f>
        <v>3000</v>
      </c>
      <c r="F147" s="73"/>
      <c r="P147" s="72"/>
      <c r="Q147" s="72"/>
    </row>
    <row r="148" spans="1:17" ht="26.25" customHeight="1">
      <c r="A148" s="36" t="s">
        <v>803</v>
      </c>
      <c r="B148" s="54" t="s">
        <v>834</v>
      </c>
      <c r="C148" s="54" t="s">
        <v>641</v>
      </c>
      <c r="D148" s="20">
        <f>SUM(D149:D150)</f>
        <v>129168.5</v>
      </c>
      <c r="F148" s="73"/>
      <c r="P148" s="72"/>
      <c r="Q148" s="72"/>
    </row>
    <row r="149" spans="1:17" ht="19.5" customHeight="1">
      <c r="A149" s="36" t="s">
        <v>1103</v>
      </c>
      <c r="B149" s="54" t="s">
        <v>834</v>
      </c>
      <c r="C149" s="54" t="s">
        <v>419</v>
      </c>
      <c r="D149" s="20">
        <f>3796+46</f>
        <v>3842</v>
      </c>
      <c r="F149" s="73"/>
      <c r="P149" s="72"/>
      <c r="Q149" s="72"/>
    </row>
    <row r="150" spans="1:17" ht="16.5" customHeight="1">
      <c r="A150" s="36" t="s">
        <v>243</v>
      </c>
      <c r="B150" s="54" t="s">
        <v>834</v>
      </c>
      <c r="C150" s="54" t="s">
        <v>244</v>
      </c>
      <c r="D150" s="20">
        <f>122831.4+2601.1-170.6+110.6-46</f>
        <v>125326.5</v>
      </c>
      <c r="F150" s="73"/>
      <c r="P150" s="72"/>
      <c r="Q150" s="72"/>
    </row>
    <row r="151" spans="1:17" ht="26.25" customHeight="1">
      <c r="A151" s="36" t="s">
        <v>803</v>
      </c>
      <c r="B151" s="54" t="s">
        <v>597</v>
      </c>
      <c r="C151" s="54" t="s">
        <v>641</v>
      </c>
      <c r="D151" s="20">
        <f>D152</f>
        <v>10189</v>
      </c>
      <c r="F151" s="73"/>
      <c r="P151" s="72"/>
      <c r="Q151" s="72"/>
    </row>
    <row r="152" spans="1:17" ht="15">
      <c r="A152" s="36" t="s">
        <v>243</v>
      </c>
      <c r="B152" s="54" t="s">
        <v>597</v>
      </c>
      <c r="C152" s="54" t="s">
        <v>244</v>
      </c>
      <c r="D152" s="20">
        <f>10189</f>
        <v>10189</v>
      </c>
      <c r="F152" s="73"/>
      <c r="P152" s="72"/>
      <c r="Q152" s="72"/>
    </row>
    <row r="153" spans="1:17" ht="15" hidden="1">
      <c r="A153" s="158"/>
      <c r="B153" s="54"/>
      <c r="C153" s="54"/>
      <c r="D153" s="20"/>
      <c r="F153" s="73"/>
      <c r="P153" s="72"/>
      <c r="Q153" s="72"/>
    </row>
    <row r="154" spans="1:17" ht="36.75" customHeight="1">
      <c r="A154" s="33" t="s">
        <v>885</v>
      </c>
      <c r="B154" s="54" t="s">
        <v>598</v>
      </c>
      <c r="C154" s="54"/>
      <c r="D154" s="20">
        <f>D155+D158+D160+D164+D166+D168+D162</f>
        <v>92318.4</v>
      </c>
      <c r="F154" s="73"/>
      <c r="P154" s="72"/>
      <c r="Q154" s="72"/>
    </row>
    <row r="155" spans="1:17" ht="28.5" customHeight="1">
      <c r="A155" s="36" t="s">
        <v>803</v>
      </c>
      <c r="B155" s="54" t="s">
        <v>1065</v>
      </c>
      <c r="C155" s="54" t="s">
        <v>641</v>
      </c>
      <c r="D155" s="20">
        <f>D156+D157</f>
        <v>60339</v>
      </c>
      <c r="F155" s="73"/>
      <c r="P155" s="72"/>
      <c r="Q155" s="72"/>
    </row>
    <row r="156" spans="1:17" ht="15">
      <c r="A156" s="36" t="s">
        <v>1103</v>
      </c>
      <c r="B156" s="54" t="s">
        <v>1065</v>
      </c>
      <c r="C156" s="54" t="s">
        <v>419</v>
      </c>
      <c r="D156" s="20">
        <f>59883</f>
        <v>59883</v>
      </c>
      <c r="F156" s="73"/>
      <c r="P156" s="72"/>
      <c r="Q156" s="72"/>
    </row>
    <row r="157" spans="1:17" ht="15">
      <c r="A157" s="36" t="s">
        <v>243</v>
      </c>
      <c r="B157" s="54" t="s">
        <v>1065</v>
      </c>
      <c r="C157" s="54" t="s">
        <v>244</v>
      </c>
      <c r="D157" s="20">
        <f>456</f>
        <v>456</v>
      </c>
      <c r="F157" s="73"/>
      <c r="P157" s="72"/>
      <c r="Q157" s="72"/>
    </row>
    <row r="158" spans="1:17" ht="24">
      <c r="A158" s="36" t="s">
        <v>803</v>
      </c>
      <c r="B158" s="54" t="s">
        <v>163</v>
      </c>
      <c r="C158" s="54" t="s">
        <v>641</v>
      </c>
      <c r="D158" s="20">
        <f>D159</f>
        <v>2602</v>
      </c>
      <c r="F158" s="73"/>
      <c r="P158" s="72"/>
      <c r="Q158" s="72"/>
    </row>
    <row r="159" spans="1:17" ht="15">
      <c r="A159" s="36" t="s">
        <v>1103</v>
      </c>
      <c r="B159" s="54" t="s">
        <v>163</v>
      </c>
      <c r="C159" s="54" t="s">
        <v>419</v>
      </c>
      <c r="D159" s="20">
        <f>2602</f>
        <v>2602</v>
      </c>
      <c r="F159" s="73"/>
      <c r="P159" s="72"/>
      <c r="Q159" s="72"/>
    </row>
    <row r="160" spans="1:17" ht="24">
      <c r="A160" s="36" t="s">
        <v>803</v>
      </c>
      <c r="B160" s="54" t="s">
        <v>122</v>
      </c>
      <c r="C160" s="54" t="s">
        <v>641</v>
      </c>
      <c r="D160" s="20">
        <v>6028.4</v>
      </c>
      <c r="F160" s="73"/>
      <c r="P160" s="72"/>
      <c r="Q160" s="72"/>
    </row>
    <row r="161" spans="1:17" ht="15">
      <c r="A161" s="36" t="s">
        <v>243</v>
      </c>
      <c r="B161" s="54" t="s">
        <v>122</v>
      </c>
      <c r="C161" s="54" t="s">
        <v>244</v>
      </c>
      <c r="D161" s="20">
        <v>6028.4</v>
      </c>
      <c r="F161" s="73"/>
      <c r="P161" s="72"/>
      <c r="Q161" s="72"/>
    </row>
    <row r="162" spans="1:17" ht="24">
      <c r="A162" s="36" t="s">
        <v>803</v>
      </c>
      <c r="B162" s="54" t="s">
        <v>936</v>
      </c>
      <c r="C162" s="54" t="s">
        <v>641</v>
      </c>
      <c r="D162" s="20">
        <f>D163</f>
        <v>2454.4</v>
      </c>
      <c r="F162" s="73"/>
      <c r="P162" s="72"/>
      <c r="Q162" s="72"/>
    </row>
    <row r="163" spans="1:17" ht="15">
      <c r="A163" s="36" t="s">
        <v>243</v>
      </c>
      <c r="B163" s="54" t="s">
        <v>936</v>
      </c>
      <c r="C163" s="54" t="s">
        <v>244</v>
      </c>
      <c r="D163" s="20">
        <v>2454.4</v>
      </c>
      <c r="F163" s="73"/>
      <c r="P163" s="72"/>
      <c r="Q163" s="72"/>
    </row>
    <row r="164" spans="1:17" ht="24">
      <c r="A164" s="36" t="s">
        <v>803</v>
      </c>
      <c r="B164" s="54" t="s">
        <v>538</v>
      </c>
      <c r="C164" s="54" t="s">
        <v>641</v>
      </c>
      <c r="D164" s="20">
        <f>D165</f>
        <v>7166.8</v>
      </c>
      <c r="F164" s="73"/>
      <c r="P164" s="72"/>
      <c r="Q164" s="72"/>
    </row>
    <row r="165" spans="1:17" ht="15">
      <c r="A165" s="36" t="s">
        <v>243</v>
      </c>
      <c r="B165" s="54" t="s">
        <v>538</v>
      </c>
      <c r="C165" s="54" t="s">
        <v>244</v>
      </c>
      <c r="D165" s="20">
        <v>7166.8</v>
      </c>
      <c r="F165" s="73"/>
      <c r="P165" s="72"/>
      <c r="Q165" s="72"/>
    </row>
    <row r="166" spans="1:17" ht="24">
      <c r="A166" s="36" t="s">
        <v>803</v>
      </c>
      <c r="B166" s="54" t="s">
        <v>782</v>
      </c>
      <c r="C166" s="54" t="s">
        <v>641</v>
      </c>
      <c r="D166" s="20">
        <f>D167</f>
        <v>2081.8</v>
      </c>
      <c r="F166" s="73"/>
      <c r="P166" s="72"/>
      <c r="Q166" s="72"/>
    </row>
    <row r="167" spans="1:17" ht="15">
      <c r="A167" s="36" t="s">
        <v>243</v>
      </c>
      <c r="B167" s="54" t="s">
        <v>782</v>
      </c>
      <c r="C167" s="54" t="s">
        <v>244</v>
      </c>
      <c r="D167" s="20">
        <f>1911.2+170.6</f>
        <v>2081.8</v>
      </c>
      <c r="F167" s="73"/>
      <c r="P167" s="72"/>
      <c r="Q167" s="72"/>
    </row>
    <row r="168" spans="1:17" ht="24">
      <c r="A168" s="36" t="s">
        <v>803</v>
      </c>
      <c r="B168" s="54" t="s">
        <v>835</v>
      </c>
      <c r="C168" s="54" t="s">
        <v>641</v>
      </c>
      <c r="D168" s="20">
        <f>D169</f>
        <v>11646</v>
      </c>
      <c r="F168" s="73"/>
      <c r="P168" s="72"/>
      <c r="Q168" s="72"/>
    </row>
    <row r="169" spans="1:17" ht="15">
      <c r="A169" s="36" t="s">
        <v>1103</v>
      </c>
      <c r="B169" s="54" t="s">
        <v>835</v>
      </c>
      <c r="C169" s="54" t="s">
        <v>419</v>
      </c>
      <c r="D169" s="20">
        <f>11646</f>
        <v>11646</v>
      </c>
      <c r="F169" s="73"/>
      <c r="P169" s="72"/>
      <c r="Q169" s="72"/>
    </row>
    <row r="170" spans="1:17" ht="53.25" customHeight="1">
      <c r="A170" s="33" t="s">
        <v>116</v>
      </c>
      <c r="B170" s="54" t="s">
        <v>599</v>
      </c>
      <c r="C170" s="54"/>
      <c r="D170" s="20">
        <f>D171+D174+D177+D179+D181+D184+D188+D190</f>
        <v>130981</v>
      </c>
      <c r="F170" s="73"/>
      <c r="P170" s="72"/>
      <c r="Q170" s="72"/>
    </row>
    <row r="171" spans="1:17" ht="22.5" customHeight="1">
      <c r="A171" s="36" t="s">
        <v>803</v>
      </c>
      <c r="B171" s="54" t="s">
        <v>1243</v>
      </c>
      <c r="C171" s="54" t="s">
        <v>641</v>
      </c>
      <c r="D171" s="20">
        <f>D172+D173</f>
        <v>9430</v>
      </c>
      <c r="F171" s="73"/>
      <c r="P171" s="72"/>
      <c r="Q171" s="72"/>
    </row>
    <row r="172" spans="1:17" ht="17.25" customHeight="1">
      <c r="A172" s="36" t="s">
        <v>1103</v>
      </c>
      <c r="B172" s="54" t="s">
        <v>1243</v>
      </c>
      <c r="C172" s="54" t="s">
        <v>419</v>
      </c>
      <c r="D172" s="20">
        <f>7728-419.8</f>
        <v>7308.2</v>
      </c>
      <c r="F172" s="73"/>
      <c r="P172" s="72"/>
      <c r="Q172" s="72"/>
    </row>
    <row r="173" spans="1:17" ht="19.5" customHeight="1">
      <c r="A173" s="36" t="s">
        <v>243</v>
      </c>
      <c r="B173" s="54" t="s">
        <v>1243</v>
      </c>
      <c r="C173" s="54" t="s">
        <v>244</v>
      </c>
      <c r="D173" s="20">
        <f>1702+419.8</f>
        <v>2121.8</v>
      </c>
      <c r="F173" s="73"/>
      <c r="P173" s="72"/>
      <c r="Q173" s="72"/>
    </row>
    <row r="174" spans="1:17" ht="22.5" customHeight="1">
      <c r="A174" s="36" t="s">
        <v>803</v>
      </c>
      <c r="B174" s="54" t="s">
        <v>1245</v>
      </c>
      <c r="C174" s="54" t="s">
        <v>641</v>
      </c>
      <c r="D174" s="20">
        <f>D175+D176</f>
        <v>7785</v>
      </c>
      <c r="F174" s="73"/>
      <c r="P174" s="72"/>
      <c r="Q174" s="72"/>
    </row>
    <row r="175" spans="1:17" ht="19.5" customHeight="1">
      <c r="A175" s="36" t="s">
        <v>1103</v>
      </c>
      <c r="B175" s="54" t="s">
        <v>1245</v>
      </c>
      <c r="C175" s="54" t="s">
        <v>419</v>
      </c>
      <c r="D175" s="20">
        <f>1615.1-0.1</f>
        <v>1615</v>
      </c>
      <c r="F175" s="73"/>
      <c r="P175" s="72"/>
      <c r="Q175" s="72"/>
    </row>
    <row r="176" spans="1:17" ht="16.5" customHeight="1">
      <c r="A176" s="36" t="s">
        <v>243</v>
      </c>
      <c r="B176" s="54" t="s">
        <v>1245</v>
      </c>
      <c r="C176" s="54" t="s">
        <v>244</v>
      </c>
      <c r="D176" s="20">
        <f>6169.9+0.1</f>
        <v>6170</v>
      </c>
      <c r="F176" s="73"/>
      <c r="P176" s="72"/>
      <c r="Q176" s="72"/>
    </row>
    <row r="177" spans="1:17" ht="26.25" customHeight="1">
      <c r="A177" s="36" t="s">
        <v>803</v>
      </c>
      <c r="B177" s="54" t="s">
        <v>842</v>
      </c>
      <c r="C177" s="54" t="s">
        <v>641</v>
      </c>
      <c r="D177" s="20">
        <f>D178</f>
        <v>2876</v>
      </c>
      <c r="F177" s="73"/>
      <c r="P177" s="72"/>
      <c r="Q177" s="72"/>
    </row>
    <row r="178" spans="1:17" ht="15">
      <c r="A178" s="36" t="s">
        <v>1103</v>
      </c>
      <c r="B178" s="54" t="s">
        <v>842</v>
      </c>
      <c r="C178" s="54" t="s">
        <v>419</v>
      </c>
      <c r="D178" s="20">
        <f>3316-440</f>
        <v>2876</v>
      </c>
      <c r="F178" s="73"/>
      <c r="P178" s="72"/>
      <c r="Q178" s="72"/>
    </row>
    <row r="179" spans="1:17" ht="24">
      <c r="A179" s="36" t="s">
        <v>803</v>
      </c>
      <c r="B179" s="54" t="s">
        <v>92</v>
      </c>
      <c r="C179" s="54" t="s">
        <v>641</v>
      </c>
      <c r="D179" s="20">
        <f>D180</f>
        <v>650</v>
      </c>
      <c r="F179" s="73"/>
      <c r="P179" s="72"/>
      <c r="Q179" s="72"/>
    </row>
    <row r="180" spans="1:17" ht="15">
      <c r="A180" s="36" t="s">
        <v>243</v>
      </c>
      <c r="B180" s="54" t="s">
        <v>92</v>
      </c>
      <c r="C180" s="54" t="s">
        <v>244</v>
      </c>
      <c r="D180" s="20">
        <v>650</v>
      </c>
      <c r="F180" s="73"/>
      <c r="P180" s="72"/>
      <c r="Q180" s="72"/>
    </row>
    <row r="181" spans="1:17" ht="25.5" customHeight="1">
      <c r="A181" s="36" t="s">
        <v>803</v>
      </c>
      <c r="B181" s="54" t="s">
        <v>836</v>
      </c>
      <c r="C181" s="54" t="s">
        <v>641</v>
      </c>
      <c r="D181" s="20">
        <f>SUM(D182:D183)</f>
        <v>67842</v>
      </c>
      <c r="F181" s="73"/>
      <c r="P181" s="72"/>
      <c r="Q181" s="72"/>
    </row>
    <row r="182" spans="1:17" ht="15">
      <c r="A182" s="36" t="s">
        <v>1103</v>
      </c>
      <c r="B182" s="54" t="s">
        <v>836</v>
      </c>
      <c r="C182" s="54" t="s">
        <v>419</v>
      </c>
      <c r="D182" s="20">
        <f>56518-3129.8+324+904</f>
        <v>54616.2</v>
      </c>
      <c r="F182" s="73"/>
      <c r="P182" s="72"/>
      <c r="Q182" s="72"/>
    </row>
    <row r="183" spans="1:17" ht="15">
      <c r="A183" s="36" t="s">
        <v>243</v>
      </c>
      <c r="B183" s="54" t="s">
        <v>836</v>
      </c>
      <c r="C183" s="54" t="s">
        <v>244</v>
      </c>
      <c r="D183" s="20">
        <f>10096+3129.8</f>
        <v>13225.8</v>
      </c>
      <c r="F183" s="73"/>
      <c r="P183" s="72"/>
      <c r="Q183" s="72"/>
    </row>
    <row r="184" spans="1:17" ht="24">
      <c r="A184" s="36" t="s">
        <v>803</v>
      </c>
      <c r="B184" s="54" t="s">
        <v>837</v>
      </c>
      <c r="C184" s="54" t="s">
        <v>641</v>
      </c>
      <c r="D184" s="20">
        <f>D185</f>
        <v>23898</v>
      </c>
      <c r="F184" s="73"/>
      <c r="P184" s="72"/>
      <c r="Q184" s="72"/>
    </row>
    <row r="185" spans="1:17" ht="15">
      <c r="A185" s="36" t="s">
        <v>1103</v>
      </c>
      <c r="B185" s="54" t="s">
        <v>837</v>
      </c>
      <c r="C185" s="54" t="s">
        <v>419</v>
      </c>
      <c r="D185" s="20">
        <v>23898</v>
      </c>
      <c r="F185" s="73"/>
      <c r="P185" s="72"/>
      <c r="Q185" s="72"/>
    </row>
    <row r="186" spans="1:17" ht="24" hidden="1">
      <c r="A186" s="36" t="s">
        <v>805</v>
      </c>
      <c r="B186" s="54" t="s">
        <v>907</v>
      </c>
      <c r="C186" s="54" t="s">
        <v>402</v>
      </c>
      <c r="D186" s="20">
        <f>D187</f>
        <v>0</v>
      </c>
      <c r="F186" s="73"/>
      <c r="P186" s="72"/>
      <c r="Q186" s="72"/>
    </row>
    <row r="187" spans="1:17" ht="15" hidden="1">
      <c r="A187" s="158" t="s">
        <v>827</v>
      </c>
      <c r="B187" s="54" t="s">
        <v>907</v>
      </c>
      <c r="C187" s="54" t="s">
        <v>1333</v>
      </c>
      <c r="D187" s="20">
        <v>0</v>
      </c>
      <c r="F187" s="73"/>
      <c r="P187" s="72"/>
      <c r="Q187" s="72"/>
    </row>
    <row r="188" spans="1:17" ht="15">
      <c r="A188" s="158" t="s">
        <v>405</v>
      </c>
      <c r="B188" s="54" t="s">
        <v>907</v>
      </c>
      <c r="C188" s="54" t="s">
        <v>406</v>
      </c>
      <c r="D188" s="20">
        <f>D189</f>
        <v>1314.5</v>
      </c>
      <c r="F188" s="73"/>
      <c r="P188" s="72"/>
      <c r="Q188" s="72"/>
    </row>
    <row r="189" spans="1:17" ht="23.25" customHeight="1">
      <c r="A189" s="158" t="s">
        <v>873</v>
      </c>
      <c r="B189" s="54" t="s">
        <v>907</v>
      </c>
      <c r="C189" s="54" t="s">
        <v>1015</v>
      </c>
      <c r="D189" s="20">
        <f>2388-800-273.5</f>
        <v>1314.5</v>
      </c>
      <c r="F189" s="73"/>
      <c r="P189" s="72"/>
      <c r="Q189" s="72"/>
    </row>
    <row r="190" spans="1:17" ht="24">
      <c r="A190" s="36" t="s">
        <v>803</v>
      </c>
      <c r="B190" s="54" t="s">
        <v>907</v>
      </c>
      <c r="C190" s="54" t="s">
        <v>641</v>
      </c>
      <c r="D190" s="20">
        <f>D191+D192</f>
        <v>17185.5</v>
      </c>
      <c r="F190" s="73"/>
      <c r="P190" s="72"/>
      <c r="Q190" s="72"/>
    </row>
    <row r="191" spans="1:17" ht="15">
      <c r="A191" s="36" t="s">
        <v>1103</v>
      </c>
      <c r="B191" s="54" t="s">
        <v>907</v>
      </c>
      <c r="C191" s="54" t="s">
        <v>419</v>
      </c>
      <c r="D191" s="20">
        <f>5799.6+934.4</f>
        <v>6734</v>
      </c>
      <c r="F191" s="73"/>
      <c r="P191" s="72"/>
      <c r="Q191" s="72"/>
    </row>
    <row r="192" spans="1:17" ht="15">
      <c r="A192" s="36" t="s">
        <v>243</v>
      </c>
      <c r="B192" s="54" t="s">
        <v>907</v>
      </c>
      <c r="C192" s="54" t="s">
        <v>244</v>
      </c>
      <c r="D192" s="20">
        <f>8978+800+400+273.5</f>
        <v>10451.5</v>
      </c>
      <c r="F192" s="73"/>
      <c r="P192" s="72"/>
      <c r="Q192" s="72"/>
    </row>
    <row r="193" spans="1:17" ht="36">
      <c r="A193" s="33" t="s">
        <v>822</v>
      </c>
      <c r="B193" s="54" t="s">
        <v>606</v>
      </c>
      <c r="C193" s="54"/>
      <c r="D193" s="20">
        <f>D194+D196+D198+D201+D203+D206</f>
        <v>59303.2</v>
      </c>
      <c r="F193" s="73"/>
      <c r="P193" s="72"/>
      <c r="Q193" s="72"/>
    </row>
    <row r="194" spans="1:17" ht="24">
      <c r="A194" s="36" t="s">
        <v>803</v>
      </c>
      <c r="B194" s="54" t="s">
        <v>607</v>
      </c>
      <c r="C194" s="54" t="s">
        <v>641</v>
      </c>
      <c r="D194" s="20">
        <f>D195</f>
        <v>8043</v>
      </c>
      <c r="F194" s="73"/>
      <c r="P194" s="72"/>
      <c r="Q194" s="72"/>
    </row>
    <row r="195" spans="1:17" ht="15">
      <c r="A195" s="36" t="s">
        <v>243</v>
      </c>
      <c r="B195" s="54" t="s">
        <v>607</v>
      </c>
      <c r="C195" s="54" t="s">
        <v>244</v>
      </c>
      <c r="D195" s="20">
        <f>8043</f>
        <v>8043</v>
      </c>
      <c r="F195" s="73"/>
      <c r="P195" s="72"/>
      <c r="Q195" s="72"/>
    </row>
    <row r="196" spans="1:17" ht="24">
      <c r="A196" s="36" t="s">
        <v>270</v>
      </c>
      <c r="B196" s="54" t="s">
        <v>823</v>
      </c>
      <c r="C196" s="54" t="s">
        <v>312</v>
      </c>
      <c r="D196" s="20">
        <f>D197</f>
        <v>2494.7</v>
      </c>
      <c r="F196" s="73"/>
      <c r="P196" s="72"/>
      <c r="Q196" s="72"/>
    </row>
    <row r="197" spans="1:17" ht="36">
      <c r="A197" s="36" t="s">
        <v>1175</v>
      </c>
      <c r="B197" s="54" t="s">
        <v>823</v>
      </c>
      <c r="C197" s="54" t="s">
        <v>1174</v>
      </c>
      <c r="D197" s="20">
        <f>2494.7</f>
        <v>2494.7</v>
      </c>
      <c r="F197" s="73"/>
      <c r="P197" s="72"/>
      <c r="Q197" s="72"/>
    </row>
    <row r="198" spans="1:17" ht="24">
      <c r="A198" s="36" t="s">
        <v>803</v>
      </c>
      <c r="B198" s="54" t="s">
        <v>823</v>
      </c>
      <c r="C198" s="54" t="s">
        <v>641</v>
      </c>
      <c r="D198" s="20">
        <f>D199+D200</f>
        <v>21064</v>
      </c>
      <c r="F198" s="73"/>
      <c r="P198" s="72"/>
      <c r="Q198" s="72"/>
    </row>
    <row r="199" spans="1:17" ht="15">
      <c r="A199" s="36" t="s">
        <v>1103</v>
      </c>
      <c r="B199" s="54" t="s">
        <v>823</v>
      </c>
      <c r="C199" s="54" t="s">
        <v>419</v>
      </c>
      <c r="D199" s="20">
        <f>4000</f>
        <v>4000</v>
      </c>
      <c r="F199" s="73"/>
      <c r="P199" s="72"/>
      <c r="Q199" s="72"/>
    </row>
    <row r="200" spans="1:17" ht="15">
      <c r="A200" s="36" t="s">
        <v>243</v>
      </c>
      <c r="B200" s="54" t="s">
        <v>823</v>
      </c>
      <c r="C200" s="54" t="s">
        <v>244</v>
      </c>
      <c r="D200" s="20">
        <v>17064</v>
      </c>
      <c r="F200" s="73"/>
      <c r="P200" s="72"/>
      <c r="Q200" s="72"/>
    </row>
    <row r="201" spans="1:17" ht="24">
      <c r="A201" s="36" t="s">
        <v>270</v>
      </c>
      <c r="B201" s="54" t="s">
        <v>608</v>
      </c>
      <c r="C201" s="54" t="s">
        <v>312</v>
      </c>
      <c r="D201" s="20">
        <f>D202</f>
        <v>4956</v>
      </c>
      <c r="F201" s="73"/>
      <c r="P201" s="72"/>
      <c r="Q201" s="72"/>
    </row>
    <row r="202" spans="1:17" ht="36">
      <c r="A202" s="36" t="s">
        <v>1175</v>
      </c>
      <c r="B202" s="54" t="s">
        <v>608</v>
      </c>
      <c r="C202" s="54" t="s">
        <v>1174</v>
      </c>
      <c r="D202" s="20">
        <f>950+3286.1+719.9</f>
        <v>4956</v>
      </c>
      <c r="F202" s="73"/>
      <c r="P202" s="72"/>
      <c r="Q202" s="72"/>
    </row>
    <row r="203" spans="1:17" ht="24">
      <c r="A203" s="36" t="s">
        <v>803</v>
      </c>
      <c r="B203" s="54" t="s">
        <v>608</v>
      </c>
      <c r="C203" s="54" t="s">
        <v>641</v>
      </c>
      <c r="D203" s="20">
        <f>D204+D205</f>
        <v>20079.5</v>
      </c>
      <c r="F203" s="73"/>
      <c r="P203" s="72"/>
      <c r="Q203" s="72"/>
    </row>
    <row r="204" spans="1:17" ht="15">
      <c r="A204" s="36" t="s">
        <v>1103</v>
      </c>
      <c r="B204" s="54" t="s">
        <v>608</v>
      </c>
      <c r="C204" s="54" t="s">
        <v>419</v>
      </c>
      <c r="D204" s="20">
        <f>853.5</f>
        <v>853.5</v>
      </c>
      <c r="F204" s="73"/>
      <c r="P204" s="72"/>
      <c r="Q204" s="72"/>
    </row>
    <row r="205" spans="1:17" ht="15">
      <c r="A205" s="36" t="s">
        <v>243</v>
      </c>
      <c r="B205" s="54" t="s">
        <v>608</v>
      </c>
      <c r="C205" s="54" t="s">
        <v>244</v>
      </c>
      <c r="D205" s="20">
        <f>19226</f>
        <v>19226</v>
      </c>
      <c r="F205" s="73"/>
      <c r="P205" s="72"/>
      <c r="Q205" s="72"/>
    </row>
    <row r="206" spans="1:17" ht="24">
      <c r="A206" s="36" t="s">
        <v>803</v>
      </c>
      <c r="B206" s="54" t="s">
        <v>430</v>
      </c>
      <c r="C206" s="54" t="s">
        <v>641</v>
      </c>
      <c r="D206" s="20">
        <f>D207</f>
        <v>2666</v>
      </c>
      <c r="F206" s="73"/>
      <c r="P206" s="72"/>
      <c r="Q206" s="72"/>
    </row>
    <row r="207" spans="1:17" ht="15">
      <c r="A207" s="36" t="s">
        <v>1103</v>
      </c>
      <c r="B207" s="54" t="s">
        <v>430</v>
      </c>
      <c r="C207" s="54" t="s">
        <v>419</v>
      </c>
      <c r="D207" s="20">
        <f>310+2356</f>
        <v>2666</v>
      </c>
      <c r="F207" s="73"/>
      <c r="P207" s="72"/>
      <c r="Q207" s="72"/>
    </row>
    <row r="208" spans="1:17" ht="24.75" customHeight="1">
      <c r="A208" s="33" t="s">
        <v>906</v>
      </c>
      <c r="B208" s="54" t="s">
        <v>1231</v>
      </c>
      <c r="C208" s="54"/>
      <c r="D208" s="20">
        <f>D209+D211+D213+D215+D217+D219+D221+D225</f>
        <v>103238.7</v>
      </c>
      <c r="F208" s="73"/>
      <c r="P208" s="72"/>
      <c r="Q208" s="72"/>
    </row>
    <row r="209" spans="1:17" ht="48.75" customHeight="1">
      <c r="A209" s="64" t="s">
        <v>1031</v>
      </c>
      <c r="B209" s="54" t="s">
        <v>908</v>
      </c>
      <c r="C209" s="54" t="s">
        <v>21</v>
      </c>
      <c r="D209" s="20">
        <f>D210</f>
        <v>26766</v>
      </c>
      <c r="F209" s="73"/>
      <c r="P209" s="72"/>
      <c r="Q209" s="72"/>
    </row>
    <row r="210" spans="1:17" ht="24">
      <c r="A210" s="36" t="s">
        <v>34</v>
      </c>
      <c r="B210" s="54" t="s">
        <v>908</v>
      </c>
      <c r="C210" s="54" t="s">
        <v>416</v>
      </c>
      <c r="D210" s="20">
        <f>26766</f>
        <v>26766</v>
      </c>
      <c r="F210" s="73"/>
      <c r="P210" s="72"/>
      <c r="Q210" s="72"/>
    </row>
    <row r="211" spans="1:17" ht="27" customHeight="1">
      <c r="A211" s="36" t="s">
        <v>805</v>
      </c>
      <c r="B211" s="54" t="s">
        <v>908</v>
      </c>
      <c r="C211" s="54" t="s">
        <v>402</v>
      </c>
      <c r="D211" s="20">
        <f>D212</f>
        <v>3245</v>
      </c>
      <c r="F211" s="73"/>
      <c r="P211" s="72"/>
      <c r="Q211" s="72"/>
    </row>
    <row r="212" spans="1:17" ht="18.75" customHeight="1">
      <c r="A212" s="158" t="s">
        <v>827</v>
      </c>
      <c r="B212" s="54" t="s">
        <v>908</v>
      </c>
      <c r="C212" s="54" t="s">
        <v>1333</v>
      </c>
      <c r="D212" s="20">
        <f>3245</f>
        <v>3245</v>
      </c>
      <c r="F212" s="73"/>
      <c r="P212" s="72"/>
      <c r="Q212" s="72"/>
    </row>
    <row r="213" spans="1:17" ht="17.25" customHeight="1">
      <c r="A213" s="158" t="s">
        <v>1189</v>
      </c>
      <c r="B213" s="54" t="s">
        <v>908</v>
      </c>
      <c r="C213" s="54" t="s">
        <v>1190</v>
      </c>
      <c r="D213" s="20">
        <f>D214</f>
        <v>60</v>
      </c>
      <c r="F213" s="73"/>
      <c r="P213" s="72"/>
      <c r="Q213" s="72"/>
    </row>
    <row r="214" spans="1:17" ht="15">
      <c r="A214" s="36" t="s">
        <v>1103</v>
      </c>
      <c r="B214" s="54" t="s">
        <v>908</v>
      </c>
      <c r="C214" s="54" t="s">
        <v>1060</v>
      </c>
      <c r="D214" s="20">
        <f>60</f>
        <v>60</v>
      </c>
      <c r="F214" s="73"/>
      <c r="P214" s="72"/>
      <c r="Q214" s="72"/>
    </row>
    <row r="215" spans="1:17" ht="27" customHeight="1">
      <c r="A215" s="36" t="s">
        <v>803</v>
      </c>
      <c r="B215" s="54" t="s">
        <v>1232</v>
      </c>
      <c r="C215" s="54" t="s">
        <v>641</v>
      </c>
      <c r="D215" s="20">
        <f>D216</f>
        <v>1607</v>
      </c>
      <c r="F215" s="73"/>
      <c r="P215" s="72"/>
      <c r="Q215" s="72"/>
    </row>
    <row r="216" spans="1:17" ht="15">
      <c r="A216" s="36" t="s">
        <v>1103</v>
      </c>
      <c r="B216" s="54" t="s">
        <v>1232</v>
      </c>
      <c r="C216" s="54" t="s">
        <v>419</v>
      </c>
      <c r="D216" s="20">
        <f>1704-97</f>
        <v>1607</v>
      </c>
      <c r="F216" s="73"/>
      <c r="P216" s="72"/>
      <c r="Q216" s="72"/>
    </row>
    <row r="217" spans="1:17" ht="21.75" customHeight="1">
      <c r="A217" s="36" t="s">
        <v>805</v>
      </c>
      <c r="B217" s="54" t="s">
        <v>1050</v>
      </c>
      <c r="C217" s="54" t="s">
        <v>402</v>
      </c>
      <c r="D217" s="20">
        <f>D218</f>
        <v>3847</v>
      </c>
      <c r="F217" s="73"/>
      <c r="P217" s="72"/>
      <c r="Q217" s="72"/>
    </row>
    <row r="218" spans="1:17" ht="18.75" customHeight="1">
      <c r="A218" s="158" t="s">
        <v>827</v>
      </c>
      <c r="B218" s="54" t="s">
        <v>1050</v>
      </c>
      <c r="C218" s="54" t="s">
        <v>1333</v>
      </c>
      <c r="D218" s="20">
        <v>3847</v>
      </c>
      <c r="F218" s="73"/>
      <c r="P218" s="72"/>
      <c r="Q218" s="72"/>
    </row>
    <row r="219" spans="1:17" ht="48">
      <c r="A219" s="64" t="s">
        <v>1031</v>
      </c>
      <c r="B219" s="54" t="s">
        <v>838</v>
      </c>
      <c r="C219" s="54" t="s">
        <v>21</v>
      </c>
      <c r="D219" s="20">
        <f>D220</f>
        <v>5</v>
      </c>
      <c r="F219" s="73"/>
      <c r="P219" s="72"/>
      <c r="Q219" s="72"/>
    </row>
    <row r="220" spans="1:17" ht="24">
      <c r="A220" s="36" t="s">
        <v>34</v>
      </c>
      <c r="B220" s="54" t="s">
        <v>838</v>
      </c>
      <c r="C220" s="54" t="s">
        <v>416</v>
      </c>
      <c r="D220" s="20">
        <f>5</f>
        <v>5</v>
      </c>
      <c r="F220" s="73"/>
      <c r="P220" s="72"/>
      <c r="Q220" s="72"/>
    </row>
    <row r="221" spans="1:17" ht="24">
      <c r="A221" s="36" t="s">
        <v>805</v>
      </c>
      <c r="B221" s="54" t="s">
        <v>838</v>
      </c>
      <c r="C221" s="54" t="s">
        <v>402</v>
      </c>
      <c r="D221" s="20">
        <f>D222</f>
        <v>295</v>
      </c>
      <c r="F221" s="73"/>
      <c r="P221" s="72"/>
      <c r="Q221" s="72"/>
    </row>
    <row r="222" spans="1:17" ht="21.75" customHeight="1">
      <c r="A222" s="158" t="s">
        <v>827</v>
      </c>
      <c r="B222" s="54" t="s">
        <v>838</v>
      </c>
      <c r="C222" s="54" t="s">
        <v>1333</v>
      </c>
      <c r="D222" s="20">
        <f>295</f>
        <v>295</v>
      </c>
      <c r="F222" s="73"/>
      <c r="P222" s="72"/>
      <c r="Q222" s="72"/>
    </row>
    <row r="223" spans="1:17" ht="15" hidden="1">
      <c r="A223" s="158" t="s">
        <v>1059</v>
      </c>
      <c r="B223" s="54"/>
      <c r="C223" s="54" t="s">
        <v>1060</v>
      </c>
      <c r="D223" s="19"/>
      <c r="F223" s="73"/>
      <c r="P223" s="72"/>
      <c r="Q223" s="72"/>
    </row>
    <row r="224" spans="1:17" ht="15" hidden="1">
      <c r="A224" s="158"/>
      <c r="B224" s="54"/>
      <c r="C224" s="54"/>
      <c r="D224" s="20"/>
      <c r="F224" s="73"/>
      <c r="P224" s="72"/>
      <c r="Q224" s="72"/>
    </row>
    <row r="225" spans="1:17" ht="24.75" customHeight="1">
      <c r="A225" s="36" t="s">
        <v>803</v>
      </c>
      <c r="B225" s="54" t="s">
        <v>568</v>
      </c>
      <c r="C225" s="54" t="s">
        <v>641</v>
      </c>
      <c r="D225" s="20">
        <f>D226</f>
        <v>67413.7</v>
      </c>
      <c r="F225" s="73"/>
      <c r="P225" s="72"/>
      <c r="Q225" s="72"/>
    </row>
    <row r="226" spans="1:17" ht="15">
      <c r="A226" s="36" t="s">
        <v>1103</v>
      </c>
      <c r="B226" s="54" t="s">
        <v>568</v>
      </c>
      <c r="C226" s="54" t="s">
        <v>419</v>
      </c>
      <c r="D226" s="20">
        <f>65913.8-0.1+1500</f>
        <v>67413.7</v>
      </c>
      <c r="F226" s="73"/>
      <c r="P226" s="72"/>
      <c r="Q226" s="72"/>
    </row>
    <row r="227" spans="1:17" ht="72" customHeight="1" hidden="1">
      <c r="A227" s="33" t="s">
        <v>57</v>
      </c>
      <c r="B227" s="54"/>
      <c r="C227" s="54"/>
      <c r="D227" s="20"/>
      <c r="F227" s="73"/>
      <c r="P227" s="72"/>
      <c r="Q227" s="72"/>
    </row>
    <row r="228" spans="1:17" ht="23.25" customHeight="1" hidden="1">
      <c r="A228" s="36" t="s">
        <v>243</v>
      </c>
      <c r="B228" s="207" t="s">
        <v>568</v>
      </c>
      <c r="C228" s="54" t="s">
        <v>244</v>
      </c>
      <c r="D228" s="208"/>
      <c r="F228" s="73"/>
      <c r="P228" s="72"/>
      <c r="Q228" s="72"/>
    </row>
    <row r="229" spans="1:17" ht="30" customHeight="1">
      <c r="A229" s="215" t="s">
        <v>1039</v>
      </c>
      <c r="B229" s="239" t="s">
        <v>600</v>
      </c>
      <c r="C229" s="217"/>
      <c r="D229" s="201">
        <f>D230+D314</f>
        <v>55525.5</v>
      </c>
      <c r="F229" s="73"/>
      <c r="P229" s="72"/>
      <c r="Q229" s="72"/>
    </row>
    <row r="230" spans="1:17" ht="38.25" customHeight="1">
      <c r="A230" s="33" t="s">
        <v>1055</v>
      </c>
      <c r="B230" s="54" t="s">
        <v>601</v>
      </c>
      <c r="C230" s="54"/>
      <c r="D230" s="55">
        <f>D231+D233+D235+D237+D239+D241+D243+D245++D247+D249+D251+D253+D255+D257+D259+D261+D269+D271+D273+D275+D277+D279+D281+D283+D285+D287+D290+D292+D294+D298+D300+D302+D304+D306+D308+D310+D312</f>
        <v>55025.5</v>
      </c>
      <c r="F230" s="73"/>
      <c r="P230" s="72"/>
      <c r="Q230" s="72"/>
    </row>
    <row r="231" spans="1:17" ht="24">
      <c r="A231" s="36" t="s">
        <v>805</v>
      </c>
      <c r="B231" s="17" t="s">
        <v>1056</v>
      </c>
      <c r="C231" s="54" t="s">
        <v>402</v>
      </c>
      <c r="D231" s="55">
        <f>D232</f>
        <v>79.7</v>
      </c>
      <c r="F231" s="73"/>
      <c r="P231" s="72"/>
      <c r="Q231" s="72"/>
    </row>
    <row r="232" spans="1:17" ht="20.25" customHeight="1">
      <c r="A232" s="158" t="s">
        <v>827</v>
      </c>
      <c r="B232" s="17" t="s">
        <v>1056</v>
      </c>
      <c r="C232" s="54" t="s">
        <v>1333</v>
      </c>
      <c r="D232" s="55">
        <f>79.7</f>
        <v>79.7</v>
      </c>
      <c r="F232" s="73"/>
      <c r="P232" s="72"/>
      <c r="Q232" s="72"/>
    </row>
    <row r="233" spans="1:17" ht="18" customHeight="1">
      <c r="A233" s="36" t="s">
        <v>405</v>
      </c>
      <c r="B233" s="17" t="s">
        <v>1056</v>
      </c>
      <c r="C233" s="54" t="s">
        <v>406</v>
      </c>
      <c r="D233" s="55">
        <f>D234</f>
        <v>7964.8</v>
      </c>
      <c r="F233" s="73"/>
      <c r="P233" s="72"/>
      <c r="Q233" s="72"/>
    </row>
    <row r="234" spans="1:17" ht="15">
      <c r="A234" s="36" t="s">
        <v>570</v>
      </c>
      <c r="B234" s="17" t="s">
        <v>1056</v>
      </c>
      <c r="C234" s="54" t="s">
        <v>635</v>
      </c>
      <c r="D234" s="20">
        <f>7964.8</f>
        <v>7964.8</v>
      </c>
      <c r="F234" s="73"/>
      <c r="P234" s="72"/>
      <c r="Q234" s="72"/>
    </row>
    <row r="235" spans="1:17" ht="24">
      <c r="A235" s="36" t="s">
        <v>805</v>
      </c>
      <c r="B235" s="17" t="s">
        <v>317</v>
      </c>
      <c r="C235" s="54" t="s">
        <v>402</v>
      </c>
      <c r="D235" s="20">
        <f>D236</f>
        <v>3</v>
      </c>
      <c r="F235" s="73"/>
      <c r="P235" s="72"/>
      <c r="Q235" s="72"/>
    </row>
    <row r="236" spans="1:17" ht="19.5" customHeight="1">
      <c r="A236" s="158" t="s">
        <v>827</v>
      </c>
      <c r="B236" s="17" t="s">
        <v>317</v>
      </c>
      <c r="C236" s="54" t="s">
        <v>1333</v>
      </c>
      <c r="D236" s="20">
        <f>3</f>
        <v>3</v>
      </c>
      <c r="F236" s="73"/>
      <c r="P236" s="72"/>
      <c r="Q236" s="72"/>
    </row>
    <row r="237" spans="1:17" ht="15">
      <c r="A237" s="36" t="s">
        <v>405</v>
      </c>
      <c r="B237" s="17" t="s">
        <v>317</v>
      </c>
      <c r="C237" s="54" t="s">
        <v>406</v>
      </c>
      <c r="D237" s="20">
        <f>D238</f>
        <v>400</v>
      </c>
      <c r="F237" s="73"/>
      <c r="P237" s="72"/>
      <c r="Q237" s="72"/>
    </row>
    <row r="238" spans="1:17" ht="15">
      <c r="A238" s="36" t="s">
        <v>570</v>
      </c>
      <c r="B238" s="17" t="s">
        <v>317</v>
      </c>
      <c r="C238" s="54" t="s">
        <v>635</v>
      </c>
      <c r="D238" s="20">
        <f>400</f>
        <v>400</v>
      </c>
      <c r="F238" s="73"/>
      <c r="P238" s="72"/>
      <c r="Q238" s="72"/>
    </row>
    <row r="239" spans="1:17" ht="21.75" customHeight="1">
      <c r="A239" s="36" t="s">
        <v>805</v>
      </c>
      <c r="B239" s="17" t="s">
        <v>318</v>
      </c>
      <c r="C239" s="54" t="s">
        <v>402</v>
      </c>
      <c r="D239" s="20">
        <f>D240</f>
        <v>2.4</v>
      </c>
      <c r="F239" s="73"/>
      <c r="P239" s="72"/>
      <c r="Q239" s="72"/>
    </row>
    <row r="240" spans="1:17" ht="20.25" customHeight="1">
      <c r="A240" s="158" t="s">
        <v>827</v>
      </c>
      <c r="B240" s="17" t="s">
        <v>318</v>
      </c>
      <c r="C240" s="54" t="s">
        <v>1333</v>
      </c>
      <c r="D240" s="20">
        <f>2.4</f>
        <v>2.4</v>
      </c>
      <c r="F240" s="73"/>
      <c r="P240" s="72"/>
      <c r="Q240" s="72"/>
    </row>
    <row r="241" spans="1:17" ht="15">
      <c r="A241" s="36" t="s">
        <v>405</v>
      </c>
      <c r="B241" s="17" t="s">
        <v>318</v>
      </c>
      <c r="C241" s="54" t="s">
        <v>406</v>
      </c>
      <c r="D241" s="20">
        <f>D242</f>
        <v>319.3</v>
      </c>
      <c r="F241" s="73"/>
      <c r="P241" s="72"/>
      <c r="Q241" s="72"/>
    </row>
    <row r="242" spans="1:17" ht="15">
      <c r="A242" s="36" t="s">
        <v>570</v>
      </c>
      <c r="B242" s="17" t="s">
        <v>318</v>
      </c>
      <c r="C242" s="54" t="s">
        <v>635</v>
      </c>
      <c r="D242" s="20">
        <f>319.3</f>
        <v>319.3</v>
      </c>
      <c r="F242" s="73"/>
      <c r="P242" s="72"/>
      <c r="Q242" s="72"/>
    </row>
    <row r="243" spans="1:17" ht="15">
      <c r="A243" s="36" t="s">
        <v>405</v>
      </c>
      <c r="B243" s="17" t="s">
        <v>319</v>
      </c>
      <c r="C243" s="54" t="s">
        <v>406</v>
      </c>
      <c r="D243" s="20">
        <f>D244</f>
        <v>2060</v>
      </c>
      <c r="F243" s="73"/>
      <c r="P243" s="72"/>
      <c r="Q243" s="72"/>
    </row>
    <row r="244" spans="1:17" ht="15">
      <c r="A244" s="36" t="s">
        <v>570</v>
      </c>
      <c r="B244" s="17" t="s">
        <v>319</v>
      </c>
      <c r="C244" s="54" t="s">
        <v>635</v>
      </c>
      <c r="D244" s="20">
        <f>2560-500</f>
        <v>2060</v>
      </c>
      <c r="F244" s="73"/>
      <c r="P244" s="72"/>
      <c r="Q244" s="72"/>
    </row>
    <row r="245" spans="1:17" ht="15">
      <c r="A245" s="36" t="s">
        <v>405</v>
      </c>
      <c r="B245" s="17" t="s">
        <v>320</v>
      </c>
      <c r="C245" s="54" t="s">
        <v>406</v>
      </c>
      <c r="D245" s="20">
        <f>D246</f>
        <v>300</v>
      </c>
      <c r="F245" s="73"/>
      <c r="P245" s="72"/>
      <c r="Q245" s="72"/>
    </row>
    <row r="246" spans="1:17" ht="15">
      <c r="A246" s="36" t="s">
        <v>570</v>
      </c>
      <c r="B246" s="17" t="s">
        <v>320</v>
      </c>
      <c r="C246" s="54" t="s">
        <v>635</v>
      </c>
      <c r="D246" s="20">
        <f>300</f>
        <v>300</v>
      </c>
      <c r="F246" s="73"/>
      <c r="P246" s="72"/>
      <c r="Q246" s="72"/>
    </row>
    <row r="247" spans="1:17" ht="24">
      <c r="A247" s="36" t="s">
        <v>805</v>
      </c>
      <c r="B247" s="17" t="s">
        <v>321</v>
      </c>
      <c r="C247" s="54" t="s">
        <v>402</v>
      </c>
      <c r="D247" s="20">
        <f>D248</f>
        <v>10.6</v>
      </c>
      <c r="F247" s="73"/>
      <c r="P247" s="72"/>
      <c r="Q247" s="72"/>
    </row>
    <row r="248" spans="1:17" ht="17.25" customHeight="1">
      <c r="A248" s="158" t="s">
        <v>827</v>
      </c>
      <c r="B248" s="17" t="s">
        <v>321</v>
      </c>
      <c r="C248" s="54" t="s">
        <v>1333</v>
      </c>
      <c r="D248" s="20">
        <f>10.6</f>
        <v>10.6</v>
      </c>
      <c r="F248" s="73"/>
      <c r="P248" s="72"/>
      <c r="Q248" s="72"/>
    </row>
    <row r="249" spans="1:17" ht="15">
      <c r="A249" s="36" t="s">
        <v>405</v>
      </c>
      <c r="B249" s="17" t="s">
        <v>321</v>
      </c>
      <c r="C249" s="54" t="s">
        <v>406</v>
      </c>
      <c r="D249" s="20">
        <f>D250</f>
        <v>316.5</v>
      </c>
      <c r="F249" s="73"/>
      <c r="P249" s="72"/>
      <c r="Q249" s="72"/>
    </row>
    <row r="250" spans="1:17" ht="15">
      <c r="A250" s="36" t="s">
        <v>570</v>
      </c>
      <c r="B250" s="17" t="s">
        <v>321</v>
      </c>
      <c r="C250" s="54" t="s">
        <v>635</v>
      </c>
      <c r="D250" s="20">
        <f>352.5-36</f>
        <v>316.5</v>
      </c>
      <c r="F250" s="73"/>
      <c r="P250" s="72"/>
      <c r="Q250" s="72"/>
    </row>
    <row r="251" spans="1:17" ht="24">
      <c r="A251" s="36" t="s">
        <v>805</v>
      </c>
      <c r="B251" s="17" t="s">
        <v>322</v>
      </c>
      <c r="C251" s="54" t="s">
        <v>402</v>
      </c>
      <c r="D251" s="20">
        <f>D252</f>
        <v>5.4</v>
      </c>
      <c r="F251" s="73"/>
      <c r="P251" s="72"/>
      <c r="Q251" s="72"/>
    </row>
    <row r="252" spans="1:17" ht="17.25" customHeight="1">
      <c r="A252" s="158" t="s">
        <v>827</v>
      </c>
      <c r="B252" s="17" t="s">
        <v>322</v>
      </c>
      <c r="C252" s="54" t="s">
        <v>1333</v>
      </c>
      <c r="D252" s="20">
        <f>5.4</f>
        <v>5.4</v>
      </c>
      <c r="F252" s="73"/>
      <c r="P252" s="72"/>
      <c r="Q252" s="72"/>
    </row>
    <row r="253" spans="1:17" ht="15">
      <c r="A253" s="36" t="s">
        <v>405</v>
      </c>
      <c r="B253" s="17" t="s">
        <v>322</v>
      </c>
      <c r="C253" s="54" t="s">
        <v>406</v>
      </c>
      <c r="D253" s="20">
        <f>D254</f>
        <v>178.5</v>
      </c>
      <c r="F253" s="73"/>
      <c r="P253" s="72"/>
      <c r="Q253" s="72"/>
    </row>
    <row r="254" spans="1:17" ht="15">
      <c r="A254" s="36" t="s">
        <v>570</v>
      </c>
      <c r="B254" s="17" t="s">
        <v>322</v>
      </c>
      <c r="C254" s="54" t="s">
        <v>635</v>
      </c>
      <c r="D254" s="20">
        <f>178.5</f>
        <v>178.5</v>
      </c>
      <c r="F254" s="73"/>
      <c r="P254" s="72"/>
      <c r="Q254" s="72"/>
    </row>
    <row r="255" spans="1:17" ht="24">
      <c r="A255" s="36" t="s">
        <v>805</v>
      </c>
      <c r="B255" s="17" t="s">
        <v>972</v>
      </c>
      <c r="C255" s="54" t="s">
        <v>402</v>
      </c>
      <c r="D255" s="20">
        <f>D256</f>
        <v>10</v>
      </c>
      <c r="F255" s="73"/>
      <c r="P255" s="72"/>
      <c r="Q255" s="72"/>
    </row>
    <row r="256" spans="1:17" ht="15.75" customHeight="1">
      <c r="A256" s="158" t="s">
        <v>827</v>
      </c>
      <c r="B256" s="17" t="s">
        <v>972</v>
      </c>
      <c r="C256" s="54" t="s">
        <v>1333</v>
      </c>
      <c r="D256" s="20">
        <f>10</f>
        <v>10</v>
      </c>
      <c r="F256" s="73"/>
      <c r="P256" s="72"/>
      <c r="Q256" s="72"/>
    </row>
    <row r="257" spans="1:17" ht="15">
      <c r="A257" s="36" t="s">
        <v>405</v>
      </c>
      <c r="B257" s="17" t="s">
        <v>972</v>
      </c>
      <c r="C257" s="54" t="s">
        <v>406</v>
      </c>
      <c r="D257" s="20">
        <f>D258</f>
        <v>370.5</v>
      </c>
      <c r="F257" s="73"/>
      <c r="P257" s="72"/>
      <c r="Q257" s="72"/>
    </row>
    <row r="258" spans="1:17" ht="15">
      <c r="A258" s="36" t="s">
        <v>570</v>
      </c>
      <c r="B258" s="17" t="s">
        <v>972</v>
      </c>
      <c r="C258" s="54" t="s">
        <v>635</v>
      </c>
      <c r="D258" s="20">
        <f>334.5+36</f>
        <v>370.5</v>
      </c>
      <c r="F258" s="73"/>
      <c r="P258" s="72"/>
      <c r="Q258" s="72"/>
    </row>
    <row r="259" spans="1:17" ht="24">
      <c r="A259" s="36" t="s">
        <v>805</v>
      </c>
      <c r="B259" s="17" t="s">
        <v>973</v>
      </c>
      <c r="C259" s="54" t="s">
        <v>402</v>
      </c>
      <c r="D259" s="20">
        <f>D260</f>
        <v>0.7</v>
      </c>
      <c r="F259" s="73"/>
      <c r="P259" s="72"/>
      <c r="Q259" s="72"/>
    </row>
    <row r="260" spans="1:17" ht="17.25" customHeight="1">
      <c r="A260" s="158" t="s">
        <v>827</v>
      </c>
      <c r="B260" s="17" t="s">
        <v>973</v>
      </c>
      <c r="C260" s="54" t="s">
        <v>1333</v>
      </c>
      <c r="D260" s="20">
        <f>0.7</f>
        <v>0.7</v>
      </c>
      <c r="F260" s="73"/>
      <c r="P260" s="72"/>
      <c r="Q260" s="72"/>
    </row>
    <row r="261" spans="1:17" ht="15">
      <c r="A261" s="36" t="s">
        <v>405</v>
      </c>
      <c r="B261" s="17" t="s">
        <v>973</v>
      </c>
      <c r="C261" s="54" t="s">
        <v>406</v>
      </c>
      <c r="D261" s="20">
        <f>D262</f>
        <v>24</v>
      </c>
      <c r="F261" s="73"/>
      <c r="P261" s="72"/>
      <c r="Q261" s="72"/>
    </row>
    <row r="262" spans="1:17" ht="15">
      <c r="A262" s="36" t="s">
        <v>570</v>
      </c>
      <c r="B262" s="17" t="s">
        <v>973</v>
      </c>
      <c r="C262" s="54" t="s">
        <v>635</v>
      </c>
      <c r="D262" s="20">
        <f>24</f>
        <v>24</v>
      </c>
      <c r="F262" s="73"/>
      <c r="P262" s="72"/>
      <c r="Q262" s="72"/>
    </row>
    <row r="263" spans="1:17" ht="15" hidden="1">
      <c r="A263" s="36" t="s">
        <v>570</v>
      </c>
      <c r="B263" s="54"/>
      <c r="C263" s="54" t="s">
        <v>635</v>
      </c>
      <c r="D263" s="20"/>
      <c r="F263" s="73"/>
      <c r="P263" s="72"/>
      <c r="Q263" s="72"/>
    </row>
    <row r="264" spans="1:17" ht="15" hidden="1">
      <c r="A264" s="36" t="s">
        <v>570</v>
      </c>
      <c r="B264" s="54"/>
      <c r="C264" s="54" t="s">
        <v>635</v>
      </c>
      <c r="D264" s="20"/>
      <c r="F264" s="73"/>
      <c r="P264" s="72"/>
      <c r="Q264" s="72"/>
    </row>
    <row r="265" spans="1:17" ht="15" hidden="1">
      <c r="A265" s="36" t="s">
        <v>570</v>
      </c>
      <c r="B265" s="54"/>
      <c r="C265" s="54" t="s">
        <v>635</v>
      </c>
      <c r="D265" s="20"/>
      <c r="F265" s="73"/>
      <c r="P265" s="72"/>
      <c r="Q265" s="72"/>
    </row>
    <row r="266" spans="1:17" ht="15" hidden="1">
      <c r="A266" s="36" t="s">
        <v>570</v>
      </c>
      <c r="B266" s="54"/>
      <c r="C266" s="54" t="s">
        <v>635</v>
      </c>
      <c r="D266" s="20"/>
      <c r="F266" s="73"/>
      <c r="P266" s="72"/>
      <c r="Q266" s="72"/>
    </row>
    <row r="267" spans="1:17" ht="15" hidden="1">
      <c r="A267" s="36" t="s">
        <v>570</v>
      </c>
      <c r="B267" s="54"/>
      <c r="C267" s="54" t="s">
        <v>635</v>
      </c>
      <c r="D267" s="20"/>
      <c r="F267" s="73"/>
      <c r="P267" s="72"/>
      <c r="Q267" s="72"/>
    </row>
    <row r="268" spans="1:17" ht="15" hidden="1">
      <c r="A268" s="36" t="s">
        <v>570</v>
      </c>
      <c r="B268" s="54"/>
      <c r="C268" s="54" t="s">
        <v>635</v>
      </c>
      <c r="D268" s="20"/>
      <c r="F268" s="73"/>
      <c r="P268" s="72"/>
      <c r="Q268" s="72"/>
    </row>
    <row r="269" spans="1:17" ht="24">
      <c r="A269" s="36" t="s">
        <v>805</v>
      </c>
      <c r="B269" s="17" t="s">
        <v>974</v>
      </c>
      <c r="C269" s="54" t="s">
        <v>402</v>
      </c>
      <c r="D269" s="20">
        <f>D270</f>
        <v>1.1</v>
      </c>
      <c r="F269" s="73"/>
      <c r="P269" s="72"/>
      <c r="Q269" s="72"/>
    </row>
    <row r="270" spans="1:17" ht="17.25" customHeight="1">
      <c r="A270" s="158" t="s">
        <v>827</v>
      </c>
      <c r="B270" s="17" t="s">
        <v>974</v>
      </c>
      <c r="C270" s="54" t="s">
        <v>1333</v>
      </c>
      <c r="D270" s="20">
        <f>1.1</f>
        <v>1.1</v>
      </c>
      <c r="F270" s="73"/>
      <c r="P270" s="72"/>
      <c r="Q270" s="72"/>
    </row>
    <row r="271" spans="1:17" ht="15">
      <c r="A271" s="36" t="s">
        <v>405</v>
      </c>
      <c r="B271" s="17" t="s">
        <v>974</v>
      </c>
      <c r="C271" s="54" t="s">
        <v>406</v>
      </c>
      <c r="D271" s="20">
        <f>D272</f>
        <v>37.5</v>
      </c>
      <c r="F271" s="73"/>
      <c r="P271" s="72"/>
      <c r="Q271" s="72"/>
    </row>
    <row r="272" spans="1:17" ht="15">
      <c r="A272" s="36" t="s">
        <v>570</v>
      </c>
      <c r="B272" s="17" t="s">
        <v>974</v>
      </c>
      <c r="C272" s="54" t="s">
        <v>635</v>
      </c>
      <c r="D272" s="20">
        <f>37.5</f>
        <v>37.5</v>
      </c>
      <c r="F272" s="73"/>
      <c r="P272" s="72"/>
      <c r="Q272" s="72"/>
    </row>
    <row r="273" spans="1:17" ht="24">
      <c r="A273" s="36" t="s">
        <v>805</v>
      </c>
      <c r="B273" s="17" t="s">
        <v>975</v>
      </c>
      <c r="C273" s="54" t="s">
        <v>402</v>
      </c>
      <c r="D273" s="20">
        <f>D274</f>
        <v>1</v>
      </c>
      <c r="F273" s="73"/>
      <c r="P273" s="72"/>
      <c r="Q273" s="72"/>
    </row>
    <row r="274" spans="1:17" ht="18" customHeight="1">
      <c r="A274" s="158" t="s">
        <v>827</v>
      </c>
      <c r="B274" s="17" t="s">
        <v>975</v>
      </c>
      <c r="C274" s="54" t="s">
        <v>1333</v>
      </c>
      <c r="D274" s="20">
        <f>1</f>
        <v>1</v>
      </c>
      <c r="F274" s="73"/>
      <c r="P274" s="72"/>
      <c r="Q274" s="72"/>
    </row>
    <row r="275" spans="1:17" ht="15">
      <c r="A275" s="36" t="s">
        <v>405</v>
      </c>
      <c r="B275" s="17" t="s">
        <v>975</v>
      </c>
      <c r="C275" s="54" t="s">
        <v>406</v>
      </c>
      <c r="D275" s="20">
        <f>D276</f>
        <v>34.5</v>
      </c>
      <c r="F275" s="73"/>
      <c r="P275" s="72"/>
      <c r="Q275" s="72"/>
    </row>
    <row r="276" spans="1:17" ht="15">
      <c r="A276" s="36" t="s">
        <v>570</v>
      </c>
      <c r="B276" s="17" t="s">
        <v>975</v>
      </c>
      <c r="C276" s="54" t="s">
        <v>635</v>
      </c>
      <c r="D276" s="20">
        <f>34.5</f>
        <v>34.5</v>
      </c>
      <c r="F276" s="73"/>
      <c r="P276" s="72"/>
      <c r="Q276" s="72"/>
    </row>
    <row r="277" spans="1:17" ht="24">
      <c r="A277" s="36" t="s">
        <v>805</v>
      </c>
      <c r="B277" s="17" t="s">
        <v>976</v>
      </c>
      <c r="C277" s="54" t="s">
        <v>402</v>
      </c>
      <c r="D277" s="20">
        <f>D278</f>
        <v>0.4</v>
      </c>
      <c r="F277" s="73"/>
      <c r="P277" s="72"/>
      <c r="Q277" s="72"/>
    </row>
    <row r="278" spans="1:17" ht="17.25" customHeight="1">
      <c r="A278" s="158" t="s">
        <v>827</v>
      </c>
      <c r="B278" s="17" t="s">
        <v>976</v>
      </c>
      <c r="C278" s="54" t="s">
        <v>1333</v>
      </c>
      <c r="D278" s="20">
        <f>0.4</f>
        <v>0.4</v>
      </c>
      <c r="F278" s="73"/>
      <c r="P278" s="72"/>
      <c r="Q278" s="72"/>
    </row>
    <row r="279" spans="1:17" ht="15">
      <c r="A279" s="36" t="s">
        <v>405</v>
      </c>
      <c r="B279" s="17" t="s">
        <v>976</v>
      </c>
      <c r="C279" s="54" t="s">
        <v>406</v>
      </c>
      <c r="D279" s="20">
        <f>D280</f>
        <v>13.5</v>
      </c>
      <c r="F279" s="73"/>
      <c r="P279" s="72"/>
      <c r="Q279" s="72"/>
    </row>
    <row r="280" spans="1:17" ht="15">
      <c r="A280" s="36" t="s">
        <v>570</v>
      </c>
      <c r="B280" s="17" t="s">
        <v>976</v>
      </c>
      <c r="C280" s="54" t="s">
        <v>635</v>
      </c>
      <c r="D280" s="20">
        <f>13.5</f>
        <v>13.5</v>
      </c>
      <c r="F280" s="73"/>
      <c r="P280" s="72"/>
      <c r="Q280" s="72"/>
    </row>
    <row r="281" spans="1:17" ht="24">
      <c r="A281" s="36" t="s">
        <v>805</v>
      </c>
      <c r="B281" s="17" t="s">
        <v>977</v>
      </c>
      <c r="C281" s="54" t="s">
        <v>402</v>
      </c>
      <c r="D281" s="20">
        <f>D282</f>
        <v>67.5</v>
      </c>
      <c r="F281" s="73"/>
      <c r="P281" s="72"/>
      <c r="Q281" s="72"/>
    </row>
    <row r="282" spans="1:17" ht="16.5" customHeight="1">
      <c r="A282" s="158" t="s">
        <v>827</v>
      </c>
      <c r="B282" s="17" t="s">
        <v>977</v>
      </c>
      <c r="C282" s="54" t="s">
        <v>1333</v>
      </c>
      <c r="D282" s="20">
        <f>67.5</f>
        <v>67.5</v>
      </c>
      <c r="F282" s="73"/>
      <c r="P282" s="72"/>
      <c r="Q282" s="72"/>
    </row>
    <row r="283" spans="1:17" ht="15">
      <c r="A283" s="36" t="s">
        <v>405</v>
      </c>
      <c r="B283" s="17" t="s">
        <v>977</v>
      </c>
      <c r="C283" s="54" t="s">
        <v>406</v>
      </c>
      <c r="D283" s="20">
        <f>D284</f>
        <v>2306</v>
      </c>
      <c r="F283" s="73"/>
      <c r="P283" s="72"/>
      <c r="Q283" s="72"/>
    </row>
    <row r="284" spans="1:17" ht="15">
      <c r="A284" s="36" t="s">
        <v>570</v>
      </c>
      <c r="B284" s="17" t="s">
        <v>977</v>
      </c>
      <c r="C284" s="54" t="s">
        <v>635</v>
      </c>
      <c r="D284" s="20">
        <f>2306</f>
        <v>2306</v>
      </c>
      <c r="F284" s="73"/>
      <c r="P284" s="72"/>
      <c r="Q284" s="72"/>
    </row>
    <row r="285" spans="1:17" ht="24">
      <c r="A285" s="36" t="s">
        <v>805</v>
      </c>
      <c r="B285" s="17" t="s">
        <v>978</v>
      </c>
      <c r="C285" s="54" t="s">
        <v>402</v>
      </c>
      <c r="D285" s="20">
        <f>D286</f>
        <v>1</v>
      </c>
      <c r="F285" s="73"/>
      <c r="P285" s="72"/>
      <c r="Q285" s="72"/>
    </row>
    <row r="286" spans="1:17" ht="17.25" customHeight="1">
      <c r="A286" s="158" t="s">
        <v>827</v>
      </c>
      <c r="B286" s="17" t="s">
        <v>978</v>
      </c>
      <c r="C286" s="54" t="s">
        <v>1333</v>
      </c>
      <c r="D286" s="20">
        <f>0.9+0.1</f>
        <v>1</v>
      </c>
      <c r="F286" s="73"/>
      <c r="P286" s="72"/>
      <c r="Q286" s="72"/>
    </row>
    <row r="287" spans="1:17" ht="15">
      <c r="A287" s="36" t="s">
        <v>405</v>
      </c>
      <c r="B287" s="17" t="s">
        <v>978</v>
      </c>
      <c r="C287" s="54" t="s">
        <v>406</v>
      </c>
      <c r="D287" s="20">
        <f>D288</f>
        <v>604.5</v>
      </c>
      <c r="F287" s="73"/>
      <c r="P287" s="72"/>
      <c r="Q287" s="72"/>
    </row>
    <row r="288" spans="1:17" ht="15">
      <c r="A288" s="36" t="s">
        <v>570</v>
      </c>
      <c r="B288" s="17" t="s">
        <v>978</v>
      </c>
      <c r="C288" s="54" t="s">
        <v>635</v>
      </c>
      <c r="D288" s="20">
        <f>604.5</f>
        <v>604.5</v>
      </c>
      <c r="F288" s="73"/>
      <c r="P288" s="72"/>
      <c r="Q288" s="72"/>
    </row>
    <row r="289" spans="1:17" ht="15" hidden="1">
      <c r="A289" s="36" t="s">
        <v>570</v>
      </c>
      <c r="B289" s="17" t="s">
        <v>35</v>
      </c>
      <c r="C289" s="54" t="s">
        <v>635</v>
      </c>
      <c r="D289" s="20">
        <v>0</v>
      </c>
      <c r="F289" s="73"/>
      <c r="P289" s="72"/>
      <c r="Q289" s="72"/>
    </row>
    <row r="290" spans="1:17" ht="15">
      <c r="A290" s="36" t="s">
        <v>405</v>
      </c>
      <c r="B290" s="17" t="s">
        <v>979</v>
      </c>
      <c r="C290" s="54" t="s">
        <v>406</v>
      </c>
      <c r="D290" s="20">
        <f>D291</f>
        <v>300</v>
      </c>
      <c r="F290" s="73"/>
      <c r="P290" s="72"/>
      <c r="Q290" s="72"/>
    </row>
    <row r="291" spans="1:17" ht="15">
      <c r="A291" s="36" t="s">
        <v>570</v>
      </c>
      <c r="B291" s="17" t="s">
        <v>979</v>
      </c>
      <c r="C291" s="54" t="s">
        <v>635</v>
      </c>
      <c r="D291" s="20">
        <f>300</f>
        <v>300</v>
      </c>
      <c r="F291" s="73"/>
      <c r="P291" s="72"/>
      <c r="Q291" s="72"/>
    </row>
    <row r="292" spans="1:17" ht="24">
      <c r="A292" s="36" t="s">
        <v>805</v>
      </c>
      <c r="B292" s="17" t="s">
        <v>980</v>
      </c>
      <c r="C292" s="54" t="s">
        <v>402</v>
      </c>
      <c r="D292" s="20">
        <f>D293</f>
        <v>20</v>
      </c>
      <c r="F292" s="73"/>
      <c r="P292" s="72"/>
      <c r="Q292" s="72"/>
    </row>
    <row r="293" spans="1:17" ht="18" customHeight="1">
      <c r="A293" s="158" t="s">
        <v>827</v>
      </c>
      <c r="B293" s="17" t="s">
        <v>980</v>
      </c>
      <c r="C293" s="54" t="s">
        <v>1333</v>
      </c>
      <c r="D293" s="20">
        <f>20</f>
        <v>20</v>
      </c>
      <c r="F293" s="73"/>
      <c r="P293" s="72"/>
      <c r="Q293" s="72"/>
    </row>
    <row r="294" spans="1:17" ht="15">
      <c r="A294" s="36" t="s">
        <v>405</v>
      </c>
      <c r="B294" s="17" t="s">
        <v>980</v>
      </c>
      <c r="C294" s="54" t="s">
        <v>406</v>
      </c>
      <c r="D294" s="20">
        <f>D295</f>
        <v>4980.9</v>
      </c>
      <c r="F294" s="73"/>
      <c r="P294" s="72"/>
      <c r="Q294" s="72"/>
    </row>
    <row r="295" spans="1:17" ht="15">
      <c r="A295" s="36" t="s">
        <v>570</v>
      </c>
      <c r="B295" s="17" t="s">
        <v>980</v>
      </c>
      <c r="C295" s="54" t="s">
        <v>635</v>
      </c>
      <c r="D295" s="20">
        <f>4320.9+600+60</f>
        <v>4980.9</v>
      </c>
      <c r="F295" s="73"/>
      <c r="P295" s="72"/>
      <c r="Q295" s="72"/>
    </row>
    <row r="296" spans="1:17" ht="15" hidden="1">
      <c r="A296" s="36" t="s">
        <v>570</v>
      </c>
      <c r="B296" s="54"/>
      <c r="C296" s="54" t="s">
        <v>635</v>
      </c>
      <c r="D296" s="20"/>
      <c r="F296" s="73"/>
      <c r="P296" s="72"/>
      <c r="Q296" s="72"/>
    </row>
    <row r="297" spans="1:17" ht="15" hidden="1">
      <c r="A297" s="36" t="s">
        <v>570</v>
      </c>
      <c r="B297" s="17" t="s">
        <v>980</v>
      </c>
      <c r="C297" s="54" t="s">
        <v>635</v>
      </c>
      <c r="D297" s="20"/>
      <c r="F297" s="73"/>
      <c r="P297" s="72"/>
      <c r="Q297" s="72"/>
    </row>
    <row r="298" spans="1:17" ht="15">
      <c r="A298" s="36" t="s">
        <v>405</v>
      </c>
      <c r="B298" s="17" t="s">
        <v>666</v>
      </c>
      <c r="C298" s="54" t="s">
        <v>406</v>
      </c>
      <c r="D298" s="20">
        <f>D299</f>
        <v>421.9</v>
      </c>
      <c r="F298" s="73"/>
      <c r="P298" s="72"/>
      <c r="Q298" s="72"/>
    </row>
    <row r="299" spans="1:17" ht="15">
      <c r="A299" s="36" t="s">
        <v>570</v>
      </c>
      <c r="B299" s="17" t="s">
        <v>666</v>
      </c>
      <c r="C299" s="54" t="s">
        <v>635</v>
      </c>
      <c r="D299" s="20">
        <f>421.9</f>
        <v>421.9</v>
      </c>
      <c r="F299" s="73"/>
      <c r="P299" s="72"/>
      <c r="Q299" s="72"/>
    </row>
    <row r="300" spans="1:17" ht="24">
      <c r="A300" s="36" t="s">
        <v>805</v>
      </c>
      <c r="B300" s="17" t="s">
        <v>981</v>
      </c>
      <c r="C300" s="54" t="s">
        <v>402</v>
      </c>
      <c r="D300" s="20">
        <f>D301</f>
        <v>50</v>
      </c>
      <c r="F300" s="73"/>
      <c r="P300" s="72"/>
      <c r="Q300" s="72"/>
    </row>
    <row r="301" spans="1:17" ht="18" customHeight="1">
      <c r="A301" s="158" t="s">
        <v>827</v>
      </c>
      <c r="B301" s="17" t="s">
        <v>981</v>
      </c>
      <c r="C301" s="54" t="s">
        <v>1333</v>
      </c>
      <c r="D301" s="20">
        <f>50</f>
        <v>50</v>
      </c>
      <c r="F301" s="73"/>
      <c r="P301" s="72"/>
      <c r="Q301" s="72"/>
    </row>
    <row r="302" spans="1:17" ht="15">
      <c r="A302" s="36" t="s">
        <v>405</v>
      </c>
      <c r="B302" s="17" t="s">
        <v>981</v>
      </c>
      <c r="C302" s="54" t="s">
        <v>406</v>
      </c>
      <c r="D302" s="20">
        <f>D303</f>
        <v>2950</v>
      </c>
      <c r="F302" s="73"/>
      <c r="P302" s="72"/>
      <c r="Q302" s="72"/>
    </row>
    <row r="303" spans="1:17" ht="15">
      <c r="A303" s="36" t="s">
        <v>570</v>
      </c>
      <c r="B303" s="17" t="s">
        <v>981</v>
      </c>
      <c r="C303" s="54" t="s">
        <v>635</v>
      </c>
      <c r="D303" s="20">
        <f>2950</f>
        <v>2950</v>
      </c>
      <c r="F303" s="73"/>
      <c r="P303" s="72"/>
      <c r="Q303" s="72"/>
    </row>
    <row r="304" spans="1:17" ht="15">
      <c r="A304" s="36" t="s">
        <v>405</v>
      </c>
      <c r="B304" s="17" t="s">
        <v>982</v>
      </c>
      <c r="C304" s="54" t="s">
        <v>406</v>
      </c>
      <c r="D304" s="20">
        <f>D305</f>
        <v>1270</v>
      </c>
      <c r="F304" s="73"/>
      <c r="P304" s="72"/>
      <c r="Q304" s="72"/>
    </row>
    <row r="305" spans="1:17" ht="24">
      <c r="A305" s="159" t="s">
        <v>873</v>
      </c>
      <c r="B305" s="17" t="s">
        <v>982</v>
      </c>
      <c r="C305" s="54" t="s">
        <v>1015</v>
      </c>
      <c r="D305" s="20">
        <f>1270</f>
        <v>1270</v>
      </c>
      <c r="F305" s="73"/>
      <c r="P305" s="72"/>
      <c r="Q305" s="72"/>
    </row>
    <row r="306" spans="1:17" ht="15">
      <c r="A306" s="36" t="s">
        <v>405</v>
      </c>
      <c r="B306" s="17" t="s">
        <v>63</v>
      </c>
      <c r="C306" s="54" t="s">
        <v>406</v>
      </c>
      <c r="D306" s="20">
        <f>D307</f>
        <v>4000</v>
      </c>
      <c r="F306" s="73"/>
      <c r="P306" s="72"/>
      <c r="Q306" s="72"/>
    </row>
    <row r="307" spans="1:17" ht="15">
      <c r="A307" s="36" t="s">
        <v>570</v>
      </c>
      <c r="B307" s="17" t="s">
        <v>63</v>
      </c>
      <c r="C307" s="54" t="s">
        <v>635</v>
      </c>
      <c r="D307" s="20">
        <f>4000</f>
        <v>4000</v>
      </c>
      <c r="F307" s="73"/>
      <c r="P307" s="72"/>
      <c r="Q307" s="72"/>
    </row>
    <row r="308" spans="1:17" ht="15">
      <c r="A308" s="36" t="s">
        <v>405</v>
      </c>
      <c r="B308" s="17" t="s">
        <v>1216</v>
      </c>
      <c r="C308" s="54" t="s">
        <v>406</v>
      </c>
      <c r="D308" s="20">
        <f>D309</f>
        <v>1462.3</v>
      </c>
      <c r="F308" s="73"/>
      <c r="P308" s="72"/>
      <c r="Q308" s="72"/>
    </row>
    <row r="309" spans="1:17" ht="15">
      <c r="A309" s="36" t="s">
        <v>570</v>
      </c>
      <c r="B309" s="17" t="s">
        <v>1216</v>
      </c>
      <c r="C309" s="54" t="s">
        <v>635</v>
      </c>
      <c r="D309" s="20">
        <f>1462.3</f>
        <v>1462.3</v>
      </c>
      <c r="F309" s="73"/>
      <c r="P309" s="72"/>
      <c r="Q309" s="72"/>
    </row>
    <row r="310" spans="1:17" ht="24">
      <c r="A310" s="36" t="s">
        <v>805</v>
      </c>
      <c r="B310" s="54" t="s">
        <v>64</v>
      </c>
      <c r="C310" s="54" t="s">
        <v>402</v>
      </c>
      <c r="D310" s="20">
        <f>D311</f>
        <v>182.00000000000003</v>
      </c>
      <c r="F310" s="73"/>
      <c r="P310" s="72"/>
      <c r="Q310" s="72"/>
    </row>
    <row r="311" spans="1:17" ht="16.5" customHeight="1">
      <c r="A311" s="158" t="s">
        <v>827</v>
      </c>
      <c r="B311" s="54" t="s">
        <v>64</v>
      </c>
      <c r="C311" s="54" t="s">
        <v>1333</v>
      </c>
      <c r="D311" s="20">
        <f>156.8+17.9-0.1+7.4</f>
        <v>182.00000000000003</v>
      </c>
      <c r="F311" s="73"/>
      <c r="P311" s="72"/>
      <c r="Q311" s="72"/>
    </row>
    <row r="312" spans="1:17" ht="15">
      <c r="A312" s="36" t="s">
        <v>405</v>
      </c>
      <c r="B312" s="54" t="s">
        <v>64</v>
      </c>
      <c r="C312" s="54" t="s">
        <v>406</v>
      </c>
      <c r="D312" s="20">
        <f>D313</f>
        <v>24275.999999999996</v>
      </c>
      <c r="F312" s="73"/>
      <c r="P312" s="72"/>
      <c r="Q312" s="72"/>
    </row>
    <row r="313" spans="1:17" ht="24">
      <c r="A313" s="159" t="s">
        <v>873</v>
      </c>
      <c r="B313" s="54" t="s">
        <v>64</v>
      </c>
      <c r="C313" s="54" t="s">
        <v>1015</v>
      </c>
      <c r="D313" s="20">
        <f>20901.2+2382.1+992.6+0.1</f>
        <v>24275.999999999996</v>
      </c>
      <c r="F313" s="73"/>
      <c r="P313" s="72"/>
      <c r="Q313" s="72"/>
    </row>
    <row r="314" spans="1:17" ht="19.5" customHeight="1">
      <c r="A314" s="33" t="s">
        <v>65</v>
      </c>
      <c r="B314" s="54" t="s">
        <v>1087</v>
      </c>
      <c r="C314" s="54"/>
      <c r="D314" s="20">
        <f>D316</f>
        <v>500</v>
      </c>
      <c r="F314" s="73"/>
      <c r="P314" s="72"/>
      <c r="Q314" s="72"/>
    </row>
    <row r="315" spans="1:17" ht="18.75" customHeight="1">
      <c r="A315" s="242" t="s">
        <v>405</v>
      </c>
      <c r="B315" s="17" t="s">
        <v>1088</v>
      </c>
      <c r="C315" s="54" t="s">
        <v>406</v>
      </c>
      <c r="D315" s="20">
        <f>D316</f>
        <v>500</v>
      </c>
      <c r="F315" s="73"/>
      <c r="P315" s="72"/>
      <c r="Q315" s="72"/>
    </row>
    <row r="316" spans="1:17" ht="15">
      <c r="A316" s="36" t="s">
        <v>570</v>
      </c>
      <c r="B316" s="17" t="s">
        <v>1088</v>
      </c>
      <c r="C316" s="54" t="s">
        <v>635</v>
      </c>
      <c r="D316" s="20">
        <f>500</f>
        <v>500</v>
      </c>
      <c r="F316" s="73"/>
      <c r="P316" s="72"/>
      <c r="Q316" s="72"/>
    </row>
    <row r="317" spans="1:17" ht="22.5">
      <c r="A317" s="215" t="s">
        <v>797</v>
      </c>
      <c r="B317" s="239" t="s">
        <v>54</v>
      </c>
      <c r="C317" s="217"/>
      <c r="D317" s="201">
        <f>D318+D327</f>
        <v>194530.4</v>
      </c>
      <c r="F317" s="73"/>
      <c r="P317" s="72"/>
      <c r="Q317" s="72"/>
    </row>
    <row r="318" spans="1:17" ht="24">
      <c r="A318" s="33" t="s">
        <v>57</v>
      </c>
      <c r="B318" s="17" t="s">
        <v>58</v>
      </c>
      <c r="C318" s="54"/>
      <c r="D318" s="20">
        <f>D320+D323+D324+D325</f>
        <v>166654.4</v>
      </c>
      <c r="F318" s="73"/>
      <c r="P318" s="72"/>
      <c r="Q318" s="72"/>
    </row>
    <row r="319" spans="1:17" ht="15" hidden="1">
      <c r="A319" s="158"/>
      <c r="B319" s="17" t="s">
        <v>59</v>
      </c>
      <c r="C319" s="54"/>
      <c r="D319" s="20"/>
      <c r="F319" s="73"/>
      <c r="P319" s="72"/>
      <c r="Q319" s="72"/>
    </row>
    <row r="320" spans="1:17" ht="24">
      <c r="A320" s="36" t="s">
        <v>803</v>
      </c>
      <c r="B320" s="17" t="s">
        <v>1249</v>
      </c>
      <c r="C320" s="54" t="s">
        <v>641</v>
      </c>
      <c r="D320" s="20">
        <f>D321</f>
        <v>550</v>
      </c>
      <c r="F320" s="73"/>
      <c r="P320" s="72"/>
      <c r="Q320" s="72"/>
    </row>
    <row r="321" spans="1:17" ht="15">
      <c r="A321" s="18" t="s">
        <v>1103</v>
      </c>
      <c r="B321" s="17" t="s">
        <v>1249</v>
      </c>
      <c r="C321" s="54" t="s">
        <v>419</v>
      </c>
      <c r="D321" s="20">
        <f>550</f>
        <v>550</v>
      </c>
      <c r="F321" s="73"/>
      <c r="P321" s="72"/>
      <c r="Q321" s="72"/>
    </row>
    <row r="322" spans="1:17" ht="21" customHeight="1">
      <c r="A322" s="36" t="s">
        <v>803</v>
      </c>
      <c r="B322" s="17" t="s">
        <v>59</v>
      </c>
      <c r="C322" s="54" t="s">
        <v>641</v>
      </c>
      <c r="D322" s="20">
        <f>SUM(D323:D324)</f>
        <v>129209.9</v>
      </c>
      <c r="F322" s="73"/>
      <c r="P322" s="72"/>
      <c r="Q322" s="72"/>
    </row>
    <row r="323" spans="1:17" ht="15">
      <c r="A323" s="18" t="s">
        <v>1103</v>
      </c>
      <c r="B323" s="17" t="s">
        <v>59</v>
      </c>
      <c r="C323" s="54" t="s">
        <v>419</v>
      </c>
      <c r="D323" s="20">
        <f>32086.5+1433</f>
        <v>33519.5</v>
      </c>
      <c r="F323" s="73"/>
      <c r="P323" s="72"/>
      <c r="Q323" s="72"/>
    </row>
    <row r="324" spans="1:17" ht="15">
      <c r="A324" s="18" t="s">
        <v>243</v>
      </c>
      <c r="B324" s="17" t="s">
        <v>59</v>
      </c>
      <c r="C324" s="54" t="s">
        <v>244</v>
      </c>
      <c r="D324" s="20">
        <f>95470.4+220</f>
        <v>95690.4</v>
      </c>
      <c r="F324" s="73"/>
      <c r="P324" s="72"/>
      <c r="Q324" s="72"/>
    </row>
    <row r="325" spans="1:17" ht="24">
      <c r="A325" s="18" t="s">
        <v>270</v>
      </c>
      <c r="B325" s="17" t="s">
        <v>1006</v>
      </c>
      <c r="C325" s="54" t="s">
        <v>312</v>
      </c>
      <c r="D325" s="20">
        <f>D326</f>
        <v>36894.5</v>
      </c>
      <c r="F325" s="73"/>
      <c r="P325" s="72"/>
      <c r="Q325" s="72"/>
    </row>
    <row r="326" spans="1:17" ht="36">
      <c r="A326" s="18" t="s">
        <v>1175</v>
      </c>
      <c r="B326" s="17" t="s">
        <v>1006</v>
      </c>
      <c r="C326" s="54" t="s">
        <v>1174</v>
      </c>
      <c r="D326" s="20">
        <f>3192.7+33921.8-220</f>
        <v>36894.5</v>
      </c>
      <c r="F326" s="73"/>
      <c r="P326" s="72"/>
      <c r="Q326" s="72"/>
    </row>
    <row r="327" spans="1:17" ht="24">
      <c r="A327" s="33" t="s">
        <v>53</v>
      </c>
      <c r="B327" s="17" t="s">
        <v>55</v>
      </c>
      <c r="C327" s="54"/>
      <c r="D327" s="55">
        <f>D329</f>
        <v>27876</v>
      </c>
      <c r="F327" s="73"/>
      <c r="P327" s="72"/>
      <c r="Q327" s="72"/>
    </row>
    <row r="328" spans="1:17" ht="24">
      <c r="A328" s="36" t="s">
        <v>803</v>
      </c>
      <c r="B328" s="17" t="s">
        <v>56</v>
      </c>
      <c r="C328" s="54" t="s">
        <v>641</v>
      </c>
      <c r="D328" s="55">
        <f>D329</f>
        <v>27876</v>
      </c>
      <c r="F328" s="73"/>
      <c r="P328" s="72"/>
      <c r="Q328" s="72"/>
    </row>
    <row r="329" spans="1:17" ht="15">
      <c r="A329" s="18" t="s">
        <v>418</v>
      </c>
      <c r="B329" s="17" t="s">
        <v>56</v>
      </c>
      <c r="C329" s="54" t="s">
        <v>419</v>
      </c>
      <c r="D329" s="55">
        <f>29383-1007-500</f>
        <v>27876</v>
      </c>
      <c r="F329" s="73"/>
      <c r="P329" s="72"/>
      <c r="Q329" s="72"/>
    </row>
    <row r="330" spans="1:17" ht="22.5" hidden="1">
      <c r="A330" s="78" t="s">
        <v>1217</v>
      </c>
      <c r="B330" s="17" t="s">
        <v>778</v>
      </c>
      <c r="C330" s="54"/>
      <c r="D330" s="200">
        <f>D337</f>
        <v>0</v>
      </c>
      <c r="F330" s="73"/>
      <c r="P330" s="72"/>
      <c r="Q330" s="72"/>
    </row>
    <row r="331" spans="1:17" ht="24" hidden="1">
      <c r="A331" s="18" t="s">
        <v>564</v>
      </c>
      <c r="B331" s="17" t="s">
        <v>777</v>
      </c>
      <c r="C331" s="54"/>
      <c r="D331" s="19"/>
      <c r="F331" s="73"/>
      <c r="P331" s="72"/>
      <c r="Q331" s="72"/>
    </row>
    <row r="332" spans="1:17" ht="24" hidden="1">
      <c r="A332" s="33" t="s">
        <v>1090</v>
      </c>
      <c r="B332" s="17" t="s">
        <v>779</v>
      </c>
      <c r="C332" s="54"/>
      <c r="D332" s="19"/>
      <c r="F332" s="73"/>
      <c r="P332" s="72"/>
      <c r="Q332" s="72"/>
    </row>
    <row r="333" spans="1:17" ht="24" hidden="1">
      <c r="A333" s="18" t="s">
        <v>564</v>
      </c>
      <c r="B333" s="17" t="s">
        <v>778</v>
      </c>
      <c r="C333" s="54"/>
      <c r="D333" s="20"/>
      <c r="F333" s="73"/>
      <c r="P333" s="72"/>
      <c r="Q333" s="72"/>
    </row>
    <row r="334" spans="1:17" ht="24" hidden="1">
      <c r="A334" s="33" t="s">
        <v>1090</v>
      </c>
      <c r="B334" s="17" t="s">
        <v>777</v>
      </c>
      <c r="C334" s="54"/>
      <c r="D334" s="19"/>
      <c r="F334" s="73"/>
      <c r="P334" s="72"/>
      <c r="Q334" s="72"/>
    </row>
    <row r="335" spans="1:17" ht="24" hidden="1">
      <c r="A335" s="18" t="s">
        <v>564</v>
      </c>
      <c r="B335" s="17" t="s">
        <v>779</v>
      </c>
      <c r="C335" s="54"/>
      <c r="D335" s="19"/>
      <c r="F335" s="73"/>
      <c r="P335" s="72"/>
      <c r="Q335" s="72"/>
    </row>
    <row r="336" spans="1:17" ht="24" hidden="1">
      <c r="A336" s="33" t="s">
        <v>1090</v>
      </c>
      <c r="B336" s="17" t="s">
        <v>778</v>
      </c>
      <c r="C336" s="54"/>
      <c r="D336" s="20"/>
      <c r="F336" s="73"/>
      <c r="P336" s="72"/>
      <c r="Q336" s="72"/>
    </row>
    <row r="337" spans="1:17" ht="24" hidden="1">
      <c r="A337" s="33" t="s">
        <v>564</v>
      </c>
      <c r="B337" s="17" t="s">
        <v>777</v>
      </c>
      <c r="C337" s="54"/>
      <c r="D337" s="20">
        <f>D339</f>
        <v>0</v>
      </c>
      <c r="F337" s="73"/>
      <c r="P337" s="72"/>
      <c r="Q337" s="72"/>
    </row>
    <row r="338" spans="1:17" ht="21.75" customHeight="1" hidden="1">
      <c r="A338" s="36" t="s">
        <v>405</v>
      </c>
      <c r="B338" s="17" t="s">
        <v>779</v>
      </c>
      <c r="C338" s="54" t="s">
        <v>406</v>
      </c>
      <c r="D338" s="20">
        <f>D339</f>
        <v>0</v>
      </c>
      <c r="F338" s="73"/>
      <c r="P338" s="72"/>
      <c r="Q338" s="72"/>
    </row>
    <row r="339" spans="1:17" ht="24" hidden="1">
      <c r="A339" s="18" t="s">
        <v>873</v>
      </c>
      <c r="B339" s="17" t="s">
        <v>779</v>
      </c>
      <c r="C339" s="54" t="s">
        <v>1015</v>
      </c>
      <c r="D339" s="20">
        <v>0</v>
      </c>
      <c r="F339" s="73"/>
      <c r="P339" s="72"/>
      <c r="Q339" s="72"/>
    </row>
    <row r="340" spans="1:17" ht="22.5">
      <c r="A340" s="215" t="s">
        <v>20</v>
      </c>
      <c r="B340" s="239" t="s">
        <v>507</v>
      </c>
      <c r="C340" s="217"/>
      <c r="D340" s="201">
        <f>D341+D344</f>
        <v>700</v>
      </c>
      <c r="F340" s="73"/>
      <c r="P340" s="72"/>
      <c r="Q340" s="72"/>
    </row>
    <row r="341" spans="1:17" ht="27" customHeight="1">
      <c r="A341" s="33" t="s">
        <v>958</v>
      </c>
      <c r="B341" s="17" t="s">
        <v>309</v>
      </c>
      <c r="C341" s="54"/>
      <c r="D341" s="20">
        <f>D343</f>
        <v>500</v>
      </c>
      <c r="F341" s="73"/>
      <c r="P341" s="72"/>
      <c r="Q341" s="72"/>
    </row>
    <row r="342" spans="1:17" ht="24.75" customHeight="1">
      <c r="A342" s="36" t="s">
        <v>805</v>
      </c>
      <c r="B342" s="17" t="s">
        <v>839</v>
      </c>
      <c r="C342" s="54" t="s">
        <v>402</v>
      </c>
      <c r="D342" s="20">
        <f>D343</f>
        <v>500</v>
      </c>
      <c r="F342" s="73"/>
      <c r="P342" s="72"/>
      <c r="Q342" s="72"/>
    </row>
    <row r="343" spans="1:17" ht="19.5" customHeight="1">
      <c r="A343" s="158" t="s">
        <v>233</v>
      </c>
      <c r="B343" s="17" t="s">
        <v>839</v>
      </c>
      <c r="C343" s="54" t="s">
        <v>1333</v>
      </c>
      <c r="D343" s="20">
        <f>500</f>
        <v>500</v>
      </c>
      <c r="F343" s="73"/>
      <c r="P343" s="72"/>
      <c r="Q343" s="72"/>
    </row>
    <row r="344" spans="1:17" ht="24">
      <c r="A344" s="33" t="s">
        <v>505</v>
      </c>
      <c r="B344" s="54" t="s">
        <v>506</v>
      </c>
      <c r="C344" s="54"/>
      <c r="D344" s="20">
        <f>D346</f>
        <v>200</v>
      </c>
      <c r="F344" s="73"/>
      <c r="P344" s="72"/>
      <c r="Q344" s="72"/>
    </row>
    <row r="345" spans="1:17" ht="17.25" customHeight="1">
      <c r="A345" s="158" t="s">
        <v>1189</v>
      </c>
      <c r="B345" s="17" t="s">
        <v>508</v>
      </c>
      <c r="C345" s="54" t="s">
        <v>1190</v>
      </c>
      <c r="D345" s="20">
        <f>D346</f>
        <v>200</v>
      </c>
      <c r="F345" s="73"/>
      <c r="P345" s="72"/>
      <c r="Q345" s="72"/>
    </row>
    <row r="346" spans="1:17" ht="17.25" customHeight="1">
      <c r="A346" s="18" t="s">
        <v>1191</v>
      </c>
      <c r="B346" s="17" t="s">
        <v>508</v>
      </c>
      <c r="C346" s="54" t="s">
        <v>1192</v>
      </c>
      <c r="D346" s="20">
        <f>200</f>
        <v>200</v>
      </c>
      <c r="F346" s="73"/>
      <c r="P346" s="72"/>
      <c r="Q346" s="72"/>
    </row>
    <row r="347" spans="1:17" ht="22.5">
      <c r="A347" s="215" t="s">
        <v>1040</v>
      </c>
      <c r="B347" s="239" t="s">
        <v>369</v>
      </c>
      <c r="C347" s="217"/>
      <c r="D347" s="201">
        <f>D348+D353+D360+D363+D366</f>
        <v>22422.6</v>
      </c>
      <c r="F347" s="73"/>
      <c r="P347" s="72"/>
      <c r="Q347" s="72"/>
    </row>
    <row r="348" spans="1:17" ht="36">
      <c r="A348" s="37" t="s">
        <v>1289</v>
      </c>
      <c r="B348" s="17" t="s">
        <v>1290</v>
      </c>
      <c r="C348" s="54"/>
      <c r="D348" s="55">
        <f>D350+D352</f>
        <v>7576.6</v>
      </c>
      <c r="F348" s="73"/>
      <c r="P348" s="72"/>
      <c r="Q348" s="72"/>
    </row>
    <row r="349" spans="1:17" ht="24" customHeight="1">
      <c r="A349" s="36" t="s">
        <v>805</v>
      </c>
      <c r="B349" s="17" t="s">
        <v>1291</v>
      </c>
      <c r="C349" s="54" t="s">
        <v>402</v>
      </c>
      <c r="D349" s="55">
        <f>D350</f>
        <v>6376.6</v>
      </c>
      <c r="F349" s="73"/>
      <c r="P349" s="72"/>
      <c r="Q349" s="72"/>
    </row>
    <row r="350" spans="1:17" ht="16.5" customHeight="1">
      <c r="A350" s="158" t="s">
        <v>471</v>
      </c>
      <c r="B350" s="17" t="s">
        <v>1291</v>
      </c>
      <c r="C350" s="54" t="s">
        <v>1333</v>
      </c>
      <c r="D350" s="55">
        <f>7176.6-800</f>
        <v>6376.6</v>
      </c>
      <c r="F350" s="73"/>
      <c r="P350" s="72"/>
      <c r="Q350" s="72"/>
    </row>
    <row r="351" spans="1:17" ht="18.75" customHeight="1">
      <c r="A351" s="158" t="s">
        <v>1189</v>
      </c>
      <c r="B351" s="17" t="s">
        <v>1291</v>
      </c>
      <c r="C351" s="54" t="s">
        <v>1190</v>
      </c>
      <c r="D351" s="55">
        <f>D352</f>
        <v>1200</v>
      </c>
      <c r="F351" s="73"/>
      <c r="P351" s="72"/>
      <c r="Q351" s="72"/>
    </row>
    <row r="352" spans="1:17" ht="15">
      <c r="A352" s="18" t="s">
        <v>1191</v>
      </c>
      <c r="B352" s="17" t="s">
        <v>1291</v>
      </c>
      <c r="C352" s="54" t="s">
        <v>1192</v>
      </c>
      <c r="D352" s="55">
        <f>1200</f>
        <v>1200</v>
      </c>
      <c r="F352" s="73"/>
      <c r="P352" s="72"/>
      <c r="Q352" s="72"/>
    </row>
    <row r="353" spans="1:17" ht="39" customHeight="1">
      <c r="A353" s="33" t="s">
        <v>368</v>
      </c>
      <c r="B353" s="17" t="s">
        <v>370</v>
      </c>
      <c r="C353" s="54"/>
      <c r="D353" s="20">
        <f>D355+D357+D359</f>
        <v>342</v>
      </c>
      <c r="F353" s="73"/>
      <c r="P353" s="72"/>
      <c r="Q353" s="72"/>
    </row>
    <row r="354" spans="1:17" ht="22.5" customHeight="1">
      <c r="A354" s="36" t="s">
        <v>805</v>
      </c>
      <c r="B354" s="17" t="s">
        <v>371</v>
      </c>
      <c r="C354" s="54" t="s">
        <v>402</v>
      </c>
      <c r="D354" s="20">
        <f>D355</f>
        <v>211</v>
      </c>
      <c r="F354" s="73"/>
      <c r="P354" s="72"/>
      <c r="Q354" s="72"/>
    </row>
    <row r="355" spans="1:17" ht="17.25" customHeight="1">
      <c r="A355" s="158" t="s">
        <v>471</v>
      </c>
      <c r="B355" s="17" t="s">
        <v>371</v>
      </c>
      <c r="C355" s="17" t="s">
        <v>1333</v>
      </c>
      <c r="D355" s="20">
        <f>211</f>
        <v>211</v>
      </c>
      <c r="F355" s="73"/>
      <c r="P355" s="72"/>
      <c r="Q355" s="72"/>
    </row>
    <row r="356" spans="1:17" ht="24">
      <c r="A356" s="36" t="s">
        <v>805</v>
      </c>
      <c r="B356" s="17" t="s">
        <v>372</v>
      </c>
      <c r="C356" s="54" t="s">
        <v>402</v>
      </c>
      <c r="D356" s="20">
        <f>D357</f>
        <v>52.5</v>
      </c>
      <c r="F356" s="73"/>
      <c r="P356" s="72"/>
      <c r="Q356" s="72"/>
    </row>
    <row r="357" spans="1:17" ht="17.25" customHeight="1">
      <c r="A357" s="158" t="s">
        <v>471</v>
      </c>
      <c r="B357" s="17" t="s">
        <v>372</v>
      </c>
      <c r="C357" s="17" t="s">
        <v>1333</v>
      </c>
      <c r="D357" s="20">
        <f>52.5</f>
        <v>52.5</v>
      </c>
      <c r="F357" s="73"/>
      <c r="P357" s="72"/>
      <c r="Q357" s="72"/>
    </row>
    <row r="358" spans="1:17" ht="15.75" customHeight="1">
      <c r="A358" s="158" t="s">
        <v>1189</v>
      </c>
      <c r="B358" s="17" t="s">
        <v>372</v>
      </c>
      <c r="C358" s="17" t="s">
        <v>1190</v>
      </c>
      <c r="D358" s="20">
        <f>D359</f>
        <v>78.5</v>
      </c>
      <c r="F358" s="73"/>
      <c r="P358" s="72"/>
      <c r="Q358" s="72"/>
    </row>
    <row r="359" spans="1:17" ht="18" customHeight="1">
      <c r="A359" s="18" t="s">
        <v>1191</v>
      </c>
      <c r="B359" s="17" t="s">
        <v>372</v>
      </c>
      <c r="C359" s="54" t="s">
        <v>1192</v>
      </c>
      <c r="D359" s="20">
        <f>78.5</f>
        <v>78.5</v>
      </c>
      <c r="F359" s="73"/>
      <c r="P359" s="72"/>
      <c r="Q359" s="72"/>
    </row>
    <row r="360" spans="1:17" ht="33.75" customHeight="1">
      <c r="A360" s="33" t="s">
        <v>373</v>
      </c>
      <c r="B360" s="17" t="s">
        <v>374</v>
      </c>
      <c r="C360" s="54"/>
      <c r="D360" s="20">
        <f>D362</f>
        <v>11970</v>
      </c>
      <c r="F360" s="73"/>
      <c r="P360" s="72"/>
      <c r="Q360" s="72"/>
    </row>
    <row r="361" spans="1:17" ht="21.75" customHeight="1">
      <c r="A361" s="36" t="s">
        <v>805</v>
      </c>
      <c r="B361" s="17" t="s">
        <v>376</v>
      </c>
      <c r="C361" s="54" t="s">
        <v>402</v>
      </c>
      <c r="D361" s="20">
        <f>D362</f>
        <v>11970</v>
      </c>
      <c r="F361" s="73"/>
      <c r="P361" s="72"/>
      <c r="Q361" s="72"/>
    </row>
    <row r="362" spans="1:17" ht="16.5" customHeight="1">
      <c r="A362" s="158" t="s">
        <v>471</v>
      </c>
      <c r="B362" s="17" t="s">
        <v>376</v>
      </c>
      <c r="C362" s="17" t="s">
        <v>1333</v>
      </c>
      <c r="D362" s="20">
        <f>13330-1360</f>
        <v>11970</v>
      </c>
      <c r="F362" s="73"/>
      <c r="P362" s="72"/>
      <c r="Q362" s="72"/>
    </row>
    <row r="363" spans="1:17" ht="33.75" customHeight="1">
      <c r="A363" s="33" t="s">
        <v>711</v>
      </c>
      <c r="B363" s="17" t="s">
        <v>712</v>
      </c>
      <c r="C363" s="17"/>
      <c r="D363" s="20">
        <f>D365</f>
        <v>1884</v>
      </c>
      <c r="F363" s="73"/>
      <c r="P363" s="72"/>
      <c r="Q363" s="72"/>
    </row>
    <row r="364" spans="1:17" ht="24">
      <c r="A364" s="36" t="s">
        <v>805</v>
      </c>
      <c r="B364" s="17" t="s">
        <v>1380</v>
      </c>
      <c r="C364" s="17" t="s">
        <v>402</v>
      </c>
      <c r="D364" s="20">
        <f>D365</f>
        <v>1884</v>
      </c>
      <c r="F364" s="73"/>
      <c r="P364" s="72"/>
      <c r="Q364" s="72"/>
    </row>
    <row r="365" spans="1:17" ht="16.5" customHeight="1">
      <c r="A365" s="158" t="s">
        <v>471</v>
      </c>
      <c r="B365" s="17" t="s">
        <v>1380</v>
      </c>
      <c r="C365" s="17" t="s">
        <v>1333</v>
      </c>
      <c r="D365" s="20">
        <f>2084-200</f>
        <v>1884</v>
      </c>
      <c r="F365" s="73"/>
      <c r="P365" s="72"/>
      <c r="Q365" s="72"/>
    </row>
    <row r="366" spans="1:17" ht="36.75" customHeight="1">
      <c r="A366" s="199" t="s">
        <v>377</v>
      </c>
      <c r="B366" s="54"/>
      <c r="C366" s="54"/>
      <c r="D366" s="20">
        <f>D368+D370</f>
        <v>650</v>
      </c>
      <c r="F366" s="73"/>
      <c r="P366" s="72"/>
      <c r="Q366" s="72"/>
    </row>
    <row r="367" spans="1:17" ht="22.5" customHeight="1">
      <c r="A367" s="36" t="s">
        <v>805</v>
      </c>
      <c r="B367" s="17" t="s">
        <v>379</v>
      </c>
      <c r="C367" s="54" t="s">
        <v>402</v>
      </c>
      <c r="D367" s="20">
        <f>D368</f>
        <v>200</v>
      </c>
      <c r="F367" s="73"/>
      <c r="P367" s="72"/>
      <c r="Q367" s="72"/>
    </row>
    <row r="368" spans="1:17" ht="15" customHeight="1">
      <c r="A368" s="158" t="s">
        <v>471</v>
      </c>
      <c r="B368" s="17" t="s">
        <v>379</v>
      </c>
      <c r="C368" s="17" t="s">
        <v>1333</v>
      </c>
      <c r="D368" s="20">
        <f>200</f>
        <v>200</v>
      </c>
      <c r="F368" s="73"/>
      <c r="P368" s="72"/>
      <c r="Q368" s="72"/>
    </row>
    <row r="369" spans="1:17" ht="17.25" customHeight="1">
      <c r="A369" s="158" t="s">
        <v>1189</v>
      </c>
      <c r="B369" s="17" t="s">
        <v>379</v>
      </c>
      <c r="C369" s="17" t="s">
        <v>1190</v>
      </c>
      <c r="D369" s="20">
        <f>D370</f>
        <v>450</v>
      </c>
      <c r="F369" s="73"/>
      <c r="P369" s="72"/>
      <c r="Q369" s="72"/>
    </row>
    <row r="370" spans="1:17" ht="15">
      <c r="A370" s="18" t="s">
        <v>1191</v>
      </c>
      <c r="B370" s="17" t="s">
        <v>379</v>
      </c>
      <c r="C370" s="17" t="s">
        <v>1192</v>
      </c>
      <c r="D370" s="20">
        <f>450</f>
        <v>450</v>
      </c>
      <c r="F370" s="73"/>
      <c r="P370" s="72"/>
      <c r="Q370" s="72"/>
    </row>
    <row r="371" spans="1:17" ht="22.5">
      <c r="A371" s="215" t="s">
        <v>452</v>
      </c>
      <c r="B371" s="239" t="s">
        <v>1264</v>
      </c>
      <c r="C371" s="217"/>
      <c r="D371" s="201">
        <f>D372+D383+D390</f>
        <v>44911.9</v>
      </c>
      <c r="F371" s="73"/>
      <c r="P371" s="72"/>
      <c r="Q371" s="72"/>
    </row>
    <row r="372" spans="1:17" ht="24">
      <c r="A372" s="33" t="s">
        <v>1484</v>
      </c>
      <c r="B372" s="17" t="s">
        <v>1485</v>
      </c>
      <c r="C372" s="54"/>
      <c r="D372" s="20">
        <f>D374+D375+D377+D379+D381</f>
        <v>9023.2</v>
      </c>
      <c r="F372" s="73"/>
      <c r="P372" s="72"/>
      <c r="Q372" s="72"/>
    </row>
    <row r="373" spans="1:17" ht="21" customHeight="1">
      <c r="A373" s="36" t="s">
        <v>405</v>
      </c>
      <c r="B373" s="17" t="s">
        <v>1486</v>
      </c>
      <c r="C373" s="54" t="s">
        <v>406</v>
      </c>
      <c r="D373" s="20">
        <f>D374</f>
        <v>3911</v>
      </c>
      <c r="F373" s="73"/>
      <c r="P373" s="72"/>
      <c r="Q373" s="72"/>
    </row>
    <row r="374" spans="1:17" ht="24">
      <c r="A374" s="18" t="s">
        <v>873</v>
      </c>
      <c r="B374" s="17" t="s">
        <v>1486</v>
      </c>
      <c r="C374" s="54" t="s">
        <v>1015</v>
      </c>
      <c r="D374" s="20">
        <f>3911</f>
        <v>3911</v>
      </c>
      <c r="F374" s="73"/>
      <c r="P374" s="72"/>
      <c r="Q374" s="72"/>
    </row>
    <row r="375" spans="1:17" ht="15">
      <c r="A375" s="36" t="s">
        <v>405</v>
      </c>
      <c r="B375" s="17" t="s">
        <v>768</v>
      </c>
      <c r="C375" s="54" t="s">
        <v>406</v>
      </c>
      <c r="D375" s="20">
        <f>D376</f>
        <v>967.6</v>
      </c>
      <c r="F375" s="73"/>
      <c r="P375" s="72"/>
      <c r="Q375" s="72"/>
    </row>
    <row r="376" spans="1:17" ht="24">
      <c r="A376" s="18" t="s">
        <v>873</v>
      </c>
      <c r="B376" s="17" t="s">
        <v>768</v>
      </c>
      <c r="C376" s="54" t="s">
        <v>1015</v>
      </c>
      <c r="D376" s="20">
        <f>967.6</f>
        <v>967.6</v>
      </c>
      <c r="F376" s="73"/>
      <c r="P376" s="72"/>
      <c r="Q376" s="72"/>
    </row>
    <row r="377" spans="1:17" ht="15">
      <c r="A377" s="36" t="s">
        <v>405</v>
      </c>
      <c r="B377" s="17" t="s">
        <v>537</v>
      </c>
      <c r="C377" s="54" t="s">
        <v>406</v>
      </c>
      <c r="D377" s="20">
        <f>D378</f>
        <v>381.6</v>
      </c>
      <c r="F377" s="73"/>
      <c r="P377" s="72"/>
      <c r="Q377" s="72"/>
    </row>
    <row r="378" spans="1:17" ht="24">
      <c r="A378" s="18" t="s">
        <v>873</v>
      </c>
      <c r="B378" s="17" t="s">
        <v>537</v>
      </c>
      <c r="C378" s="54" t="s">
        <v>1015</v>
      </c>
      <c r="D378" s="20">
        <f>381.6</f>
        <v>381.6</v>
      </c>
      <c r="F378" s="73"/>
      <c r="P378" s="72"/>
      <c r="Q378" s="72"/>
    </row>
    <row r="379" spans="1:17" ht="15">
      <c r="A379" s="36" t="s">
        <v>405</v>
      </c>
      <c r="B379" s="17" t="s">
        <v>537</v>
      </c>
      <c r="C379" s="54" t="s">
        <v>406</v>
      </c>
      <c r="D379" s="20">
        <f>D380</f>
        <v>1083</v>
      </c>
      <c r="F379" s="73"/>
      <c r="P379" s="72"/>
      <c r="Q379" s="72"/>
    </row>
    <row r="380" spans="1:17" ht="24">
      <c r="A380" s="18" t="s">
        <v>873</v>
      </c>
      <c r="B380" s="17" t="s">
        <v>537</v>
      </c>
      <c r="C380" s="54" t="s">
        <v>1015</v>
      </c>
      <c r="D380" s="20">
        <v>1083</v>
      </c>
      <c r="F380" s="73"/>
      <c r="P380" s="72"/>
      <c r="Q380" s="72"/>
    </row>
    <row r="381" spans="1:17" ht="15">
      <c r="A381" s="36" t="s">
        <v>405</v>
      </c>
      <c r="B381" s="17" t="s">
        <v>768</v>
      </c>
      <c r="C381" s="54" t="s">
        <v>406</v>
      </c>
      <c r="D381" s="20">
        <f>D382</f>
        <v>2680</v>
      </c>
      <c r="F381" s="73"/>
      <c r="P381" s="72"/>
      <c r="Q381" s="72"/>
    </row>
    <row r="382" spans="1:17" ht="24">
      <c r="A382" s="18" t="s">
        <v>873</v>
      </c>
      <c r="B382" s="17" t="s">
        <v>768</v>
      </c>
      <c r="C382" s="54" t="s">
        <v>1015</v>
      </c>
      <c r="D382" s="20">
        <v>2680</v>
      </c>
      <c r="F382" s="73"/>
      <c r="P382" s="72"/>
      <c r="Q382" s="72"/>
    </row>
    <row r="383" spans="1:17" ht="42.75" customHeight="1">
      <c r="A383" s="33" t="s">
        <v>332</v>
      </c>
      <c r="B383" s="17" t="s">
        <v>333</v>
      </c>
      <c r="C383" s="54"/>
      <c r="D383" s="20">
        <f>D384+D386+D388</f>
        <v>3688.2</v>
      </c>
      <c r="F383" s="73"/>
      <c r="P383" s="72"/>
      <c r="Q383" s="72"/>
    </row>
    <row r="384" spans="1:17" ht="19.5" customHeight="1" hidden="1">
      <c r="A384" s="36" t="s">
        <v>405</v>
      </c>
      <c r="B384" s="17" t="s">
        <v>1461</v>
      </c>
      <c r="C384" s="54" t="s">
        <v>406</v>
      </c>
      <c r="D384" s="20">
        <f>D385</f>
        <v>0</v>
      </c>
      <c r="F384" s="73"/>
      <c r="P384" s="72"/>
      <c r="Q384" s="72"/>
    </row>
    <row r="385" spans="1:17" ht="24" hidden="1">
      <c r="A385" s="18" t="s">
        <v>873</v>
      </c>
      <c r="B385" s="17" t="s">
        <v>1461</v>
      </c>
      <c r="C385" s="54" t="s">
        <v>1015</v>
      </c>
      <c r="D385" s="20">
        <v>0</v>
      </c>
      <c r="F385" s="73"/>
      <c r="P385" s="72"/>
      <c r="Q385" s="72"/>
    </row>
    <row r="386" spans="1:17" ht="15" hidden="1">
      <c r="A386" s="162" t="s">
        <v>405</v>
      </c>
      <c r="B386" s="17" t="s">
        <v>766</v>
      </c>
      <c r="C386" s="17" t="s">
        <v>406</v>
      </c>
      <c r="D386" s="20">
        <f>D387</f>
        <v>0</v>
      </c>
      <c r="F386" s="73"/>
      <c r="P386" s="72"/>
      <c r="Q386" s="72"/>
    </row>
    <row r="387" spans="1:17" ht="24" hidden="1">
      <c r="A387" s="18" t="s">
        <v>873</v>
      </c>
      <c r="B387" s="17" t="s">
        <v>766</v>
      </c>
      <c r="C387" s="17" t="s">
        <v>1015</v>
      </c>
      <c r="D387" s="20">
        <f>1790.3-1790.3</f>
        <v>0</v>
      </c>
      <c r="F387" s="73"/>
      <c r="P387" s="72"/>
      <c r="Q387" s="72"/>
    </row>
    <row r="388" spans="1:17" ht="15">
      <c r="A388" s="162" t="s">
        <v>405</v>
      </c>
      <c r="B388" s="17" t="s">
        <v>1185</v>
      </c>
      <c r="C388" s="17" t="s">
        <v>406</v>
      </c>
      <c r="D388" s="20">
        <f>D389</f>
        <v>3688.2</v>
      </c>
      <c r="F388" s="73"/>
      <c r="P388" s="72"/>
      <c r="Q388" s="72"/>
    </row>
    <row r="389" spans="1:17" ht="24">
      <c r="A389" s="162" t="s">
        <v>873</v>
      </c>
      <c r="B389" s="17" t="s">
        <v>1185</v>
      </c>
      <c r="C389" s="17" t="s">
        <v>1015</v>
      </c>
      <c r="D389" s="20">
        <f>2685.5+1002.7</f>
        <v>3688.2</v>
      </c>
      <c r="F389" s="73"/>
      <c r="P389" s="72"/>
      <c r="Q389" s="72"/>
    </row>
    <row r="390" spans="1:17" ht="28.5" customHeight="1">
      <c r="A390" s="197" t="s">
        <v>1349</v>
      </c>
      <c r="B390" s="17" t="s">
        <v>1350</v>
      </c>
      <c r="C390" s="17"/>
      <c r="D390" s="20">
        <f>D391+D393</f>
        <v>32200.5</v>
      </c>
      <c r="F390" s="73"/>
      <c r="P390" s="72"/>
      <c r="Q390" s="72"/>
    </row>
    <row r="391" spans="1:17" ht="18.75" customHeight="1">
      <c r="A391" s="162" t="s">
        <v>405</v>
      </c>
      <c r="B391" s="17" t="s">
        <v>1348</v>
      </c>
      <c r="C391" s="17" t="s">
        <v>406</v>
      </c>
      <c r="D391" s="20">
        <f>D392</f>
        <v>4033.5</v>
      </c>
      <c r="F391" s="73"/>
      <c r="P391" s="72"/>
      <c r="Q391" s="72"/>
    </row>
    <row r="392" spans="1:17" ht="22.5" customHeight="1">
      <c r="A392" s="162" t="s">
        <v>873</v>
      </c>
      <c r="B392" s="17" t="s">
        <v>1348</v>
      </c>
      <c r="C392" s="17" t="s">
        <v>1015</v>
      </c>
      <c r="D392" s="20">
        <f>8508.5-4475</f>
        <v>4033.5</v>
      </c>
      <c r="F392" s="73"/>
      <c r="P392" s="72"/>
      <c r="Q392" s="72"/>
    </row>
    <row r="393" spans="1:17" ht="15">
      <c r="A393" s="162" t="s">
        <v>405</v>
      </c>
      <c r="B393" s="17" t="s">
        <v>578</v>
      </c>
      <c r="C393" s="17" t="s">
        <v>406</v>
      </c>
      <c r="D393" s="20">
        <f>D394</f>
        <v>28167</v>
      </c>
      <c r="F393" s="73"/>
      <c r="P393" s="72"/>
      <c r="Q393" s="72"/>
    </row>
    <row r="394" spans="1:17" ht="24">
      <c r="A394" s="162" t="s">
        <v>873</v>
      </c>
      <c r="B394" s="17" t="s">
        <v>578</v>
      </c>
      <c r="C394" s="17" t="s">
        <v>1015</v>
      </c>
      <c r="D394" s="20">
        <f>31198-3031</f>
        <v>28167</v>
      </c>
      <c r="F394" s="73"/>
      <c r="P394" s="72"/>
      <c r="Q394" s="72"/>
    </row>
    <row r="395" spans="1:17" ht="22.5">
      <c r="A395" s="215" t="s">
        <v>1229</v>
      </c>
      <c r="B395" s="240" t="s">
        <v>1293</v>
      </c>
      <c r="C395" s="217"/>
      <c r="D395" s="202">
        <f>D396+D407+D414</f>
        <v>529773.3</v>
      </c>
      <c r="F395" s="73"/>
      <c r="P395" s="72"/>
      <c r="Q395" s="72"/>
    </row>
    <row r="396" spans="1:17" ht="24">
      <c r="A396" s="32" t="s">
        <v>1406</v>
      </c>
      <c r="B396" s="17" t="s">
        <v>1293</v>
      </c>
      <c r="C396" s="54"/>
      <c r="D396" s="20">
        <f>D397</f>
        <v>256864.29999999996</v>
      </c>
      <c r="F396" s="73"/>
      <c r="P396" s="72"/>
      <c r="Q396" s="72"/>
    </row>
    <row r="397" spans="1:17" ht="24">
      <c r="A397" s="33" t="s">
        <v>154</v>
      </c>
      <c r="B397" s="17" t="s">
        <v>898</v>
      </c>
      <c r="C397" s="54"/>
      <c r="D397" s="20">
        <f>D399+D400+D402+D405</f>
        <v>256864.29999999996</v>
      </c>
      <c r="F397" s="73"/>
      <c r="P397" s="72"/>
      <c r="Q397" s="72"/>
    </row>
    <row r="398" spans="1:17" ht="17.25" customHeight="1">
      <c r="A398" s="158" t="s">
        <v>1189</v>
      </c>
      <c r="B398" s="26" t="s">
        <v>156</v>
      </c>
      <c r="C398" s="54" t="s">
        <v>1190</v>
      </c>
      <c r="D398" s="20">
        <f>D399</f>
        <v>37376</v>
      </c>
      <c r="F398" s="73"/>
      <c r="P398" s="72"/>
      <c r="Q398" s="72"/>
    </row>
    <row r="399" spans="1:17" ht="30" customHeight="1">
      <c r="A399" s="36" t="s">
        <v>863</v>
      </c>
      <c r="B399" s="26" t="s">
        <v>156</v>
      </c>
      <c r="C399" s="54" t="s">
        <v>467</v>
      </c>
      <c r="D399" s="20">
        <f>37376</f>
        <v>37376</v>
      </c>
      <c r="F399" s="73"/>
      <c r="P399" s="72"/>
      <c r="Q399" s="72"/>
    </row>
    <row r="400" spans="1:17" ht="27.75" customHeight="1">
      <c r="A400" s="36" t="s">
        <v>270</v>
      </c>
      <c r="B400" s="26" t="s">
        <v>407</v>
      </c>
      <c r="C400" s="54" t="s">
        <v>312</v>
      </c>
      <c r="D400" s="20">
        <f>D401</f>
        <v>205975.39999999997</v>
      </c>
      <c r="F400" s="73"/>
      <c r="P400" s="72"/>
      <c r="Q400" s="72"/>
    </row>
    <row r="401" spans="1:17" ht="39" customHeight="1">
      <c r="A401" s="36" t="s">
        <v>1005</v>
      </c>
      <c r="B401" s="26" t="s">
        <v>407</v>
      </c>
      <c r="C401" s="54" t="s">
        <v>1174</v>
      </c>
      <c r="D401" s="20">
        <f>265397.6-59422.2</f>
        <v>205975.39999999997</v>
      </c>
      <c r="F401" s="73"/>
      <c r="P401" s="72"/>
      <c r="Q401" s="72"/>
    </row>
    <row r="402" spans="1:17" ht="31.5" customHeight="1">
      <c r="A402" s="36" t="s">
        <v>805</v>
      </c>
      <c r="B402" s="26" t="s">
        <v>1370</v>
      </c>
      <c r="C402" s="54" t="s">
        <v>402</v>
      </c>
      <c r="D402" s="20">
        <f>D403</f>
        <v>3512.9</v>
      </c>
      <c r="F402" s="73"/>
      <c r="P402" s="72"/>
      <c r="Q402" s="72"/>
    </row>
    <row r="403" spans="1:17" ht="21.75" customHeight="1">
      <c r="A403" s="158" t="s">
        <v>233</v>
      </c>
      <c r="B403" s="26" t="s">
        <v>1370</v>
      </c>
      <c r="C403" s="54" t="s">
        <v>1333</v>
      </c>
      <c r="D403" s="20">
        <v>3512.9</v>
      </c>
      <c r="F403" s="73"/>
      <c r="P403" s="72"/>
      <c r="Q403" s="72"/>
    </row>
    <row r="404" spans="1:17" ht="21.75" customHeight="1">
      <c r="A404" s="36" t="s">
        <v>110</v>
      </c>
      <c r="B404" s="26" t="s">
        <v>536</v>
      </c>
      <c r="C404" s="17" t="s">
        <v>1204</v>
      </c>
      <c r="D404" s="20">
        <f>D405</f>
        <v>10000</v>
      </c>
      <c r="F404" s="73"/>
      <c r="P404" s="72"/>
      <c r="Q404" s="72"/>
    </row>
    <row r="405" spans="1:17" ht="32.25" customHeight="1">
      <c r="A405" s="158" t="s">
        <v>486</v>
      </c>
      <c r="B405" s="26" t="s">
        <v>536</v>
      </c>
      <c r="C405" s="17" t="s">
        <v>402</v>
      </c>
      <c r="D405" s="20">
        <f>D406</f>
        <v>10000</v>
      </c>
      <c r="F405" s="73"/>
      <c r="P405" s="72"/>
      <c r="Q405" s="72"/>
    </row>
    <row r="406" spans="1:17" ht="32.25" customHeight="1">
      <c r="A406" s="158" t="s">
        <v>827</v>
      </c>
      <c r="B406" s="26" t="s">
        <v>536</v>
      </c>
      <c r="C406" s="17" t="s">
        <v>1333</v>
      </c>
      <c r="D406" s="20">
        <v>10000</v>
      </c>
      <c r="F406" s="73"/>
      <c r="P406" s="72"/>
      <c r="Q406" s="72"/>
    </row>
    <row r="407" spans="1:17" ht="36">
      <c r="A407" s="33" t="s">
        <v>400</v>
      </c>
      <c r="B407" s="26" t="s">
        <v>151</v>
      </c>
      <c r="C407" s="54"/>
      <c r="D407" s="20">
        <f>D409+D411+D413</f>
        <v>67850.1</v>
      </c>
      <c r="F407" s="73"/>
      <c r="P407" s="72"/>
      <c r="Q407" s="72"/>
    </row>
    <row r="408" spans="1:17" ht="20.25" customHeight="1">
      <c r="A408" s="158" t="s">
        <v>1189</v>
      </c>
      <c r="B408" s="26" t="s">
        <v>152</v>
      </c>
      <c r="C408" s="54" t="s">
        <v>1190</v>
      </c>
      <c r="D408" s="20">
        <f>D409</f>
        <v>32556.5</v>
      </c>
      <c r="F408" s="73"/>
      <c r="P408" s="72"/>
      <c r="Q408" s="72"/>
    </row>
    <row r="409" spans="1:17" ht="35.25" customHeight="1">
      <c r="A409" s="36" t="s">
        <v>466</v>
      </c>
      <c r="B409" s="26" t="s">
        <v>152</v>
      </c>
      <c r="C409" s="54" t="s">
        <v>467</v>
      </c>
      <c r="D409" s="20">
        <f>32127.9+428.6</f>
        <v>32556.5</v>
      </c>
      <c r="F409" s="73"/>
      <c r="P409" s="72"/>
      <c r="Q409" s="72"/>
    </row>
    <row r="410" spans="1:17" ht="21" customHeight="1">
      <c r="A410" s="36" t="s">
        <v>805</v>
      </c>
      <c r="B410" s="17" t="s">
        <v>153</v>
      </c>
      <c r="C410" s="54" t="s">
        <v>402</v>
      </c>
      <c r="D410" s="20">
        <f>D411</f>
        <v>32491.1</v>
      </c>
      <c r="F410" s="73"/>
      <c r="P410" s="72"/>
      <c r="Q410" s="72"/>
    </row>
    <row r="411" spans="1:17" ht="17.25" customHeight="1">
      <c r="A411" s="158" t="s">
        <v>233</v>
      </c>
      <c r="B411" s="17" t="s">
        <v>153</v>
      </c>
      <c r="C411" s="54" t="s">
        <v>1333</v>
      </c>
      <c r="D411" s="20">
        <f>32491.1</f>
        <v>32491.1</v>
      </c>
      <c r="F411" s="73"/>
      <c r="P411" s="72"/>
      <c r="Q411" s="72"/>
    </row>
    <row r="412" spans="1:17" ht="26.25" customHeight="1">
      <c r="A412" s="36" t="s">
        <v>805</v>
      </c>
      <c r="B412" s="17" t="s">
        <v>162</v>
      </c>
      <c r="C412" s="54" t="s">
        <v>402</v>
      </c>
      <c r="D412" s="20">
        <f>D413</f>
        <v>2802.5</v>
      </c>
      <c r="F412" s="73"/>
      <c r="P412" s="72"/>
      <c r="Q412" s="72"/>
    </row>
    <row r="413" spans="1:17" ht="20.25" customHeight="1">
      <c r="A413" s="158" t="s">
        <v>233</v>
      </c>
      <c r="B413" s="17" t="s">
        <v>162</v>
      </c>
      <c r="C413" s="17" t="s">
        <v>1333</v>
      </c>
      <c r="D413" s="20">
        <f>3231.1-428.6</f>
        <v>2802.5</v>
      </c>
      <c r="F413" s="73"/>
      <c r="P413" s="72"/>
      <c r="Q413" s="72"/>
    </row>
    <row r="414" spans="1:17" ht="30" customHeight="1">
      <c r="A414" s="33" t="s">
        <v>1292</v>
      </c>
      <c r="B414" s="17" t="s">
        <v>1294</v>
      </c>
      <c r="C414" s="54"/>
      <c r="D414" s="20">
        <f>D416+D417+D419+D422+D424+D425+D428+D430+D432</f>
        <v>205058.90000000002</v>
      </c>
      <c r="F414" s="73"/>
      <c r="P414" s="72"/>
      <c r="Q414" s="72"/>
    </row>
    <row r="415" spans="1:17" ht="21.75" customHeight="1">
      <c r="A415" s="36" t="s">
        <v>805</v>
      </c>
      <c r="B415" s="17" t="s">
        <v>157</v>
      </c>
      <c r="C415" s="54" t="s">
        <v>402</v>
      </c>
      <c r="D415" s="20">
        <f>D416</f>
        <v>85000</v>
      </c>
      <c r="F415" s="73"/>
      <c r="P415" s="72"/>
      <c r="Q415" s="72"/>
    </row>
    <row r="416" spans="1:17" ht="17.25" customHeight="1">
      <c r="A416" s="158" t="s">
        <v>233</v>
      </c>
      <c r="B416" s="17" t="s">
        <v>157</v>
      </c>
      <c r="C416" s="54" t="s">
        <v>1333</v>
      </c>
      <c r="D416" s="20">
        <f>85000</f>
        <v>85000</v>
      </c>
      <c r="F416" s="73"/>
      <c r="P416" s="72"/>
      <c r="Q416" s="72"/>
    </row>
    <row r="417" spans="1:17" ht="24">
      <c r="A417" s="158" t="s">
        <v>270</v>
      </c>
      <c r="B417" s="17" t="s">
        <v>157</v>
      </c>
      <c r="C417" s="54" t="s">
        <v>312</v>
      </c>
      <c r="D417" s="20">
        <f>D418</f>
        <v>18952.699999999997</v>
      </c>
      <c r="F417" s="73"/>
      <c r="P417" s="72"/>
      <c r="Q417" s="72"/>
    </row>
    <row r="418" spans="1:17" ht="36">
      <c r="A418" s="158" t="s">
        <v>1175</v>
      </c>
      <c r="B418" s="17" t="s">
        <v>157</v>
      </c>
      <c r="C418" s="54" t="s">
        <v>1174</v>
      </c>
      <c r="D418" s="20">
        <f>27146.1-8193.4</f>
        <v>18952.699999999997</v>
      </c>
      <c r="F418" s="73"/>
      <c r="P418" s="72"/>
      <c r="Q418" s="72"/>
    </row>
    <row r="419" spans="1:17" ht="24">
      <c r="A419" s="36" t="s">
        <v>805</v>
      </c>
      <c r="B419" s="17" t="s">
        <v>158</v>
      </c>
      <c r="C419" s="54" t="s">
        <v>402</v>
      </c>
      <c r="D419" s="20">
        <f>D420</f>
        <v>1285.9</v>
      </c>
      <c r="F419" s="73"/>
      <c r="P419" s="72"/>
      <c r="Q419" s="72"/>
    </row>
    <row r="420" spans="1:17" ht="15" customHeight="1">
      <c r="A420" s="158" t="s">
        <v>233</v>
      </c>
      <c r="B420" s="17" t="s">
        <v>158</v>
      </c>
      <c r="C420" s="54" t="s">
        <v>1333</v>
      </c>
      <c r="D420" s="20">
        <f>631.6+654.3</f>
        <v>1285.9</v>
      </c>
      <c r="F420" s="73"/>
      <c r="P420" s="72"/>
      <c r="Q420" s="72"/>
    </row>
    <row r="421" spans="1:17" ht="26.25" customHeight="1">
      <c r="A421" s="36" t="s">
        <v>803</v>
      </c>
      <c r="B421" s="17" t="s">
        <v>158</v>
      </c>
      <c r="C421" s="54" t="s">
        <v>641</v>
      </c>
      <c r="D421" s="20">
        <f>D422</f>
        <v>10020.900000000001</v>
      </c>
      <c r="F421" s="73"/>
      <c r="P421" s="72"/>
      <c r="Q421" s="72"/>
    </row>
    <row r="422" spans="1:17" ht="15">
      <c r="A422" s="18" t="s">
        <v>418</v>
      </c>
      <c r="B422" s="17" t="s">
        <v>158</v>
      </c>
      <c r="C422" s="54" t="s">
        <v>419</v>
      </c>
      <c r="D422" s="20">
        <f>14253.2-3900-332.3</f>
        <v>10020.900000000001</v>
      </c>
      <c r="F422" s="73"/>
      <c r="P422" s="72"/>
      <c r="Q422" s="72"/>
    </row>
    <row r="423" spans="1:17" ht="24">
      <c r="A423" s="36" t="s">
        <v>803</v>
      </c>
      <c r="B423" s="17" t="s">
        <v>159</v>
      </c>
      <c r="C423" s="54" t="s">
        <v>641</v>
      </c>
      <c r="D423" s="20">
        <f>D424</f>
        <v>15017.6</v>
      </c>
      <c r="F423" s="73"/>
      <c r="P423" s="72"/>
      <c r="Q423" s="72"/>
    </row>
    <row r="424" spans="1:17" ht="15">
      <c r="A424" s="18" t="s">
        <v>418</v>
      </c>
      <c r="B424" s="17" t="s">
        <v>159</v>
      </c>
      <c r="C424" s="54" t="s">
        <v>419</v>
      </c>
      <c r="D424" s="20">
        <f>15017.6</f>
        <v>15017.6</v>
      </c>
      <c r="F424" s="73"/>
      <c r="P424" s="72"/>
      <c r="Q424" s="72"/>
    </row>
    <row r="425" spans="1:17" ht="24">
      <c r="A425" s="36" t="s">
        <v>805</v>
      </c>
      <c r="B425" s="17" t="s">
        <v>161</v>
      </c>
      <c r="C425" s="54" t="s">
        <v>402</v>
      </c>
      <c r="D425" s="20">
        <f>D426</f>
        <v>19826.3</v>
      </c>
      <c r="F425" s="73"/>
      <c r="P425" s="72"/>
      <c r="Q425" s="72"/>
    </row>
    <row r="426" spans="1:17" ht="19.5" customHeight="1">
      <c r="A426" s="158" t="s">
        <v>233</v>
      </c>
      <c r="B426" s="17" t="s">
        <v>161</v>
      </c>
      <c r="C426" s="54" t="s">
        <v>1333</v>
      </c>
      <c r="D426" s="20">
        <f>19593.8+232.5</f>
        <v>19826.3</v>
      </c>
      <c r="F426" s="73"/>
      <c r="P426" s="72"/>
      <c r="Q426" s="72"/>
    </row>
    <row r="427" spans="1:17" ht="24">
      <c r="A427" s="36" t="s">
        <v>803</v>
      </c>
      <c r="B427" s="17" t="s">
        <v>161</v>
      </c>
      <c r="C427" s="54" t="s">
        <v>641</v>
      </c>
      <c r="D427" s="20">
        <f>D428</f>
        <v>51808.3</v>
      </c>
      <c r="F427" s="73"/>
      <c r="P427" s="72"/>
      <c r="Q427" s="72"/>
    </row>
    <row r="428" spans="1:17" ht="15">
      <c r="A428" s="18" t="s">
        <v>418</v>
      </c>
      <c r="B428" s="17" t="s">
        <v>161</v>
      </c>
      <c r="C428" s="54" t="s">
        <v>419</v>
      </c>
      <c r="D428" s="80">
        <f>50875.9+278.7+332.3+321.4</f>
        <v>51808.3</v>
      </c>
      <c r="F428" s="73"/>
      <c r="P428" s="72"/>
      <c r="Q428" s="72"/>
    </row>
    <row r="429" spans="1:17" ht="24">
      <c r="A429" s="36" t="s">
        <v>803</v>
      </c>
      <c r="B429" s="17" t="s">
        <v>1407</v>
      </c>
      <c r="C429" s="54" t="s">
        <v>641</v>
      </c>
      <c r="D429" s="80">
        <f>D430</f>
        <v>647.2</v>
      </c>
      <c r="F429" s="73"/>
      <c r="P429" s="72"/>
      <c r="Q429" s="72"/>
    </row>
    <row r="430" spans="1:17" ht="15">
      <c r="A430" s="18" t="s">
        <v>418</v>
      </c>
      <c r="B430" s="17" t="s">
        <v>1407</v>
      </c>
      <c r="C430" s="54" t="s">
        <v>419</v>
      </c>
      <c r="D430" s="80">
        <f>720.6-73.4</f>
        <v>647.2</v>
      </c>
      <c r="F430" s="73"/>
      <c r="P430" s="72"/>
      <c r="Q430" s="72"/>
    </row>
    <row r="431" spans="1:17" ht="24">
      <c r="A431" s="36" t="s">
        <v>803</v>
      </c>
      <c r="B431" s="17" t="s">
        <v>1295</v>
      </c>
      <c r="C431" s="54" t="s">
        <v>641</v>
      </c>
      <c r="D431" s="80">
        <f>D432</f>
        <v>2500</v>
      </c>
      <c r="F431" s="73"/>
      <c r="P431" s="72"/>
      <c r="Q431" s="72"/>
    </row>
    <row r="432" spans="1:17" ht="18.75" customHeight="1">
      <c r="A432" s="18" t="s">
        <v>418</v>
      </c>
      <c r="B432" s="17" t="s">
        <v>1295</v>
      </c>
      <c r="C432" s="54" t="s">
        <v>419</v>
      </c>
      <c r="D432" s="80">
        <f>1000+1500</f>
        <v>2500</v>
      </c>
      <c r="F432" s="73"/>
      <c r="P432" s="72"/>
      <c r="Q432" s="72"/>
    </row>
    <row r="433" spans="1:17" ht="22.5">
      <c r="A433" s="215" t="s">
        <v>5</v>
      </c>
      <c r="B433" s="239" t="s">
        <v>1399</v>
      </c>
      <c r="C433" s="217"/>
      <c r="D433" s="201">
        <f>D434+D441</f>
        <v>5362</v>
      </c>
      <c r="F433" s="73"/>
      <c r="P433" s="72"/>
      <c r="Q433" s="72"/>
    </row>
    <row r="434" spans="1:17" ht="36">
      <c r="A434" s="33" t="s">
        <v>19</v>
      </c>
      <c r="B434" s="17" t="s">
        <v>1408</v>
      </c>
      <c r="C434" s="54"/>
      <c r="D434" s="20">
        <f>D435+D437+D439</f>
        <v>2800</v>
      </c>
      <c r="F434" s="73"/>
      <c r="P434" s="72"/>
      <c r="Q434" s="72"/>
    </row>
    <row r="435" spans="1:17" ht="19.5" customHeight="1">
      <c r="A435" s="158" t="s">
        <v>1189</v>
      </c>
      <c r="B435" s="17" t="s">
        <v>1409</v>
      </c>
      <c r="C435" s="54" t="s">
        <v>1190</v>
      </c>
      <c r="D435" s="20">
        <f>D436</f>
        <v>500</v>
      </c>
      <c r="F435" s="73"/>
      <c r="P435" s="72"/>
      <c r="Q435" s="72"/>
    </row>
    <row r="436" spans="1:17" ht="48">
      <c r="A436" s="18" t="s">
        <v>745</v>
      </c>
      <c r="B436" s="17" t="s">
        <v>1409</v>
      </c>
      <c r="C436" s="54" t="s">
        <v>467</v>
      </c>
      <c r="D436" s="20">
        <f>500</f>
        <v>500</v>
      </c>
      <c r="F436" s="73"/>
      <c r="P436" s="72"/>
      <c r="Q436" s="72"/>
    </row>
    <row r="437" spans="1:17" ht="15">
      <c r="A437" s="158" t="s">
        <v>1189</v>
      </c>
      <c r="B437" s="17" t="s">
        <v>817</v>
      </c>
      <c r="C437" s="54" t="s">
        <v>1190</v>
      </c>
      <c r="D437" s="20">
        <f>D438</f>
        <v>800</v>
      </c>
      <c r="F437" s="73"/>
      <c r="P437" s="72"/>
      <c r="Q437" s="72"/>
    </row>
    <row r="438" spans="1:17" ht="48">
      <c r="A438" s="18" t="s">
        <v>745</v>
      </c>
      <c r="B438" s="17" t="s">
        <v>817</v>
      </c>
      <c r="C438" s="54" t="s">
        <v>467</v>
      </c>
      <c r="D438" s="20">
        <f>500+300</f>
        <v>800</v>
      </c>
      <c r="F438" s="73"/>
      <c r="P438" s="72"/>
      <c r="Q438" s="72"/>
    </row>
    <row r="439" spans="1:17" ht="15">
      <c r="A439" s="158" t="s">
        <v>1189</v>
      </c>
      <c r="B439" s="17" t="s">
        <v>614</v>
      </c>
      <c r="C439" s="54" t="s">
        <v>1190</v>
      </c>
      <c r="D439" s="20">
        <v>1500</v>
      </c>
      <c r="F439" s="73"/>
      <c r="P439" s="72"/>
      <c r="Q439" s="72"/>
    </row>
    <row r="440" spans="1:17" ht="96">
      <c r="A440" s="298" t="s">
        <v>938</v>
      </c>
      <c r="B440" s="17" t="s">
        <v>614</v>
      </c>
      <c r="C440" s="54" t="s">
        <v>467</v>
      </c>
      <c r="D440" s="20">
        <v>1500</v>
      </c>
      <c r="F440" s="73"/>
      <c r="P440" s="72"/>
      <c r="Q440" s="72"/>
    </row>
    <row r="441" spans="1:17" ht="24">
      <c r="A441" s="33" t="s">
        <v>1288</v>
      </c>
      <c r="B441" s="17" t="s">
        <v>366</v>
      </c>
      <c r="C441" s="54"/>
      <c r="D441" s="20">
        <f>D442</f>
        <v>2562</v>
      </c>
      <c r="F441" s="73"/>
      <c r="P441" s="72"/>
      <c r="Q441" s="72"/>
    </row>
    <row r="442" spans="1:17" ht="15">
      <c r="A442" s="158" t="s">
        <v>1189</v>
      </c>
      <c r="B442" s="17" t="s">
        <v>367</v>
      </c>
      <c r="C442" s="54" t="s">
        <v>1190</v>
      </c>
      <c r="D442" s="20">
        <f>D443</f>
        <v>2562</v>
      </c>
      <c r="F442" s="73"/>
      <c r="P442" s="72"/>
      <c r="Q442" s="72"/>
    </row>
    <row r="443" spans="1:17" ht="31.5" customHeight="1">
      <c r="A443" s="36" t="s">
        <v>415</v>
      </c>
      <c r="B443" s="17" t="s">
        <v>367</v>
      </c>
      <c r="C443" s="54" t="s">
        <v>467</v>
      </c>
      <c r="D443" s="20">
        <f>2562</f>
        <v>2562</v>
      </c>
      <c r="F443" s="73"/>
      <c r="P443" s="72"/>
      <c r="Q443" s="72"/>
    </row>
    <row r="444" spans="1:17" ht="21" customHeight="1">
      <c r="A444" s="215" t="s">
        <v>6</v>
      </c>
      <c r="B444" s="239" t="s">
        <v>458</v>
      </c>
      <c r="C444" s="217"/>
      <c r="D444" s="201">
        <f>D445+D452+D461+D468+D495+D506+D517+D528+D537+D544+D551</f>
        <v>844169.6000000001</v>
      </c>
      <c r="F444" s="73"/>
      <c r="P444" s="72"/>
      <c r="Q444" s="72"/>
    </row>
    <row r="445" spans="1:17" ht="30" customHeight="1">
      <c r="A445" s="33" t="s">
        <v>1226</v>
      </c>
      <c r="B445" s="17" t="s">
        <v>880</v>
      </c>
      <c r="C445" s="54"/>
      <c r="D445" s="20">
        <f>D446+D450</f>
        <v>11929.8</v>
      </c>
      <c r="F445" s="73"/>
      <c r="P445" s="72"/>
      <c r="Q445" s="72"/>
    </row>
    <row r="446" spans="1:17" ht="20.25" customHeight="1">
      <c r="A446" s="36" t="s">
        <v>805</v>
      </c>
      <c r="B446" s="17" t="s">
        <v>1324</v>
      </c>
      <c r="C446" s="54" t="s">
        <v>402</v>
      </c>
      <c r="D446" s="20">
        <f>D447</f>
        <v>11507.4</v>
      </c>
      <c r="F446" s="73"/>
      <c r="P446" s="72"/>
      <c r="Q446" s="72"/>
    </row>
    <row r="447" spans="1:17" ht="18.75" customHeight="1">
      <c r="A447" s="158" t="s">
        <v>827</v>
      </c>
      <c r="B447" s="17" t="s">
        <v>1324</v>
      </c>
      <c r="C447" s="54" t="s">
        <v>1333</v>
      </c>
      <c r="D447" s="20">
        <v>11507.4</v>
      </c>
      <c r="F447" s="73"/>
      <c r="P447" s="72"/>
      <c r="Q447" s="72"/>
    </row>
    <row r="448" spans="1:17" ht="24" hidden="1">
      <c r="A448" s="36" t="s">
        <v>805</v>
      </c>
      <c r="B448" s="17" t="s">
        <v>1206</v>
      </c>
      <c r="C448" s="54" t="s">
        <v>402</v>
      </c>
      <c r="D448" s="20">
        <f>D449</f>
        <v>0</v>
      </c>
      <c r="F448" s="73"/>
      <c r="P448" s="72"/>
      <c r="Q448" s="72"/>
    </row>
    <row r="449" spans="1:17" ht="19.5" customHeight="1" hidden="1">
      <c r="A449" s="158" t="s">
        <v>827</v>
      </c>
      <c r="B449" s="17" t="s">
        <v>1206</v>
      </c>
      <c r="C449" s="54" t="s">
        <v>1333</v>
      </c>
      <c r="D449" s="20"/>
      <c r="F449" s="73"/>
      <c r="P449" s="72"/>
      <c r="Q449" s="72"/>
    </row>
    <row r="450" spans="1:17" ht="19.5" customHeight="1">
      <c r="A450" s="36" t="s">
        <v>805</v>
      </c>
      <c r="B450" s="17" t="s">
        <v>1206</v>
      </c>
      <c r="C450" s="54" t="s">
        <v>1197</v>
      </c>
      <c r="D450" s="20">
        <f>D451</f>
        <v>422.4</v>
      </c>
      <c r="F450" s="73"/>
      <c r="P450" s="72"/>
      <c r="Q450" s="72"/>
    </row>
    <row r="451" spans="1:17" ht="19.5" customHeight="1">
      <c r="A451" s="158" t="s">
        <v>827</v>
      </c>
      <c r="B451" s="17" t="s">
        <v>1206</v>
      </c>
      <c r="C451" s="54" t="s">
        <v>1333</v>
      </c>
      <c r="D451" s="20">
        <v>422.4</v>
      </c>
      <c r="F451" s="73"/>
      <c r="P451" s="72"/>
      <c r="Q451" s="72"/>
    </row>
    <row r="452" spans="1:17" ht="36">
      <c r="A452" s="33" t="s">
        <v>36</v>
      </c>
      <c r="B452" s="17" t="s">
        <v>202</v>
      </c>
      <c r="C452" s="17"/>
      <c r="D452" s="20">
        <f>D454</f>
        <v>4961.6</v>
      </c>
      <c r="F452" s="73"/>
      <c r="P452" s="72"/>
      <c r="Q452" s="72"/>
    </row>
    <row r="453" spans="1:17" ht="24" customHeight="1">
      <c r="A453" s="36" t="s">
        <v>803</v>
      </c>
      <c r="B453" s="17" t="s">
        <v>203</v>
      </c>
      <c r="C453" s="17" t="s">
        <v>641</v>
      </c>
      <c r="D453" s="20">
        <f>D454</f>
        <v>4961.6</v>
      </c>
      <c r="F453" s="73"/>
      <c r="P453" s="72"/>
      <c r="Q453" s="72"/>
    </row>
    <row r="454" spans="1:17" ht="15">
      <c r="A454" s="18" t="s">
        <v>418</v>
      </c>
      <c r="B454" s="17" t="s">
        <v>203</v>
      </c>
      <c r="C454" s="17" t="s">
        <v>419</v>
      </c>
      <c r="D454" s="20">
        <f>4961.6</f>
        <v>4961.6</v>
      </c>
      <c r="F454" s="73"/>
      <c r="P454" s="72"/>
      <c r="Q454" s="72"/>
    </row>
    <row r="455" spans="1:17" ht="15" hidden="1">
      <c r="A455" s="24"/>
      <c r="B455" s="54"/>
      <c r="C455" s="54"/>
      <c r="D455" s="79"/>
      <c r="F455" s="73"/>
      <c r="P455" s="72"/>
      <c r="Q455" s="72"/>
    </row>
    <row r="456" spans="1:17" ht="15" hidden="1">
      <c r="A456" s="31"/>
      <c r="B456" s="54"/>
      <c r="C456" s="54"/>
      <c r="D456" s="19"/>
      <c r="F456" s="73"/>
      <c r="P456" s="72"/>
      <c r="Q456" s="72"/>
    </row>
    <row r="457" spans="1:17" ht="15" hidden="1">
      <c r="A457" s="32"/>
      <c r="B457" s="54"/>
      <c r="C457" s="54"/>
      <c r="D457" s="19"/>
      <c r="F457" s="73"/>
      <c r="P457" s="72"/>
      <c r="Q457" s="72"/>
    </row>
    <row r="458" spans="1:17" ht="15" hidden="1">
      <c r="A458" s="18"/>
      <c r="B458" s="54"/>
      <c r="C458" s="54"/>
      <c r="D458" s="19"/>
      <c r="F458" s="73"/>
      <c r="P458" s="72"/>
      <c r="Q458" s="72"/>
    </row>
    <row r="459" spans="1:17" ht="15" hidden="1">
      <c r="A459" s="158"/>
      <c r="B459" s="54"/>
      <c r="C459" s="54"/>
      <c r="D459" s="19"/>
      <c r="F459" s="73"/>
      <c r="P459" s="72"/>
      <c r="Q459" s="72"/>
    </row>
    <row r="460" spans="1:17" ht="15" hidden="1">
      <c r="A460" s="158"/>
      <c r="B460" s="54"/>
      <c r="C460" s="54"/>
      <c r="D460" s="20"/>
      <c r="F460" s="73"/>
      <c r="P460" s="72"/>
      <c r="Q460" s="72"/>
    </row>
    <row r="461" spans="1:17" ht="36">
      <c r="A461" s="33" t="s">
        <v>457</v>
      </c>
      <c r="B461" s="17" t="s">
        <v>1325</v>
      </c>
      <c r="C461" s="54"/>
      <c r="D461" s="20">
        <f>D463+D465+D467</f>
        <v>20555.5</v>
      </c>
      <c r="F461" s="73"/>
      <c r="P461" s="72"/>
      <c r="Q461" s="72"/>
    </row>
    <row r="462" spans="1:17" ht="48.75" customHeight="1">
      <c r="A462" s="64" t="s">
        <v>804</v>
      </c>
      <c r="B462" s="17" t="s">
        <v>988</v>
      </c>
      <c r="C462" s="54" t="s">
        <v>21</v>
      </c>
      <c r="D462" s="20">
        <f>D463</f>
        <v>19839.6</v>
      </c>
      <c r="F462" s="73"/>
      <c r="P462" s="72"/>
      <c r="Q462" s="72"/>
    </row>
    <row r="463" spans="1:17" ht="24">
      <c r="A463" s="36" t="s">
        <v>34</v>
      </c>
      <c r="B463" s="17" t="s">
        <v>988</v>
      </c>
      <c r="C463" s="54" t="s">
        <v>416</v>
      </c>
      <c r="D463" s="20">
        <f>19839.6</f>
        <v>19839.6</v>
      </c>
      <c r="F463" s="73"/>
      <c r="P463" s="72"/>
      <c r="Q463" s="72"/>
    </row>
    <row r="464" spans="1:17" ht="30.75" customHeight="1">
      <c r="A464" s="36" t="s">
        <v>805</v>
      </c>
      <c r="B464" s="17" t="s">
        <v>988</v>
      </c>
      <c r="C464" s="54" t="s">
        <v>402</v>
      </c>
      <c r="D464" s="20">
        <f>D465</f>
        <v>703.9</v>
      </c>
      <c r="F464" s="73"/>
      <c r="P464" s="72"/>
      <c r="Q464" s="72"/>
    </row>
    <row r="465" spans="1:17" ht="19.5" customHeight="1">
      <c r="A465" s="158" t="s">
        <v>827</v>
      </c>
      <c r="B465" s="17" t="s">
        <v>988</v>
      </c>
      <c r="C465" s="54" t="s">
        <v>1333</v>
      </c>
      <c r="D465" s="20">
        <f>703.9</f>
        <v>703.9</v>
      </c>
      <c r="F465" s="73"/>
      <c r="P465" s="72"/>
      <c r="Q465" s="72"/>
    </row>
    <row r="466" spans="1:17" ht="21" customHeight="1">
      <c r="A466" s="36" t="s">
        <v>1189</v>
      </c>
      <c r="B466" s="17" t="s">
        <v>989</v>
      </c>
      <c r="C466" s="54" t="s">
        <v>1190</v>
      </c>
      <c r="D466" s="20">
        <f>D467</f>
        <v>12</v>
      </c>
      <c r="F466" s="73"/>
      <c r="P466" s="72"/>
      <c r="Q466" s="72"/>
    </row>
    <row r="467" spans="1:17" ht="18.75" customHeight="1">
      <c r="A467" s="158" t="s">
        <v>1059</v>
      </c>
      <c r="B467" s="17" t="s">
        <v>989</v>
      </c>
      <c r="C467" s="17" t="s">
        <v>1060</v>
      </c>
      <c r="D467" s="20">
        <f>12</f>
        <v>12</v>
      </c>
      <c r="F467" s="73"/>
      <c r="P467" s="72"/>
      <c r="Q467" s="72"/>
    </row>
    <row r="468" spans="1:17" ht="27" customHeight="1">
      <c r="A468" s="33" t="s">
        <v>828</v>
      </c>
      <c r="B468" s="17" t="s">
        <v>527</v>
      </c>
      <c r="C468" s="54"/>
      <c r="D468" s="20">
        <f>D470+D471+D476+D478+D479+D481+D484+D486+D488+D490+D492+D494</f>
        <v>273751.2</v>
      </c>
      <c r="F468" s="73"/>
      <c r="P468" s="72"/>
      <c r="Q468" s="72"/>
    </row>
    <row r="469" spans="1:17" ht="48" customHeight="1">
      <c r="A469" s="64" t="s">
        <v>1031</v>
      </c>
      <c r="B469" s="17" t="s">
        <v>1024</v>
      </c>
      <c r="C469" s="54" t="s">
        <v>21</v>
      </c>
      <c r="D469" s="20">
        <f>D470</f>
        <v>195720.2</v>
      </c>
      <c r="F469" s="73"/>
      <c r="P469" s="72"/>
      <c r="Q469" s="72"/>
    </row>
    <row r="470" spans="1:17" ht="24">
      <c r="A470" s="36" t="s">
        <v>34</v>
      </c>
      <c r="B470" s="17" t="s">
        <v>1024</v>
      </c>
      <c r="C470" s="54" t="s">
        <v>416</v>
      </c>
      <c r="D470" s="20">
        <f>195720.2</f>
        <v>195720.2</v>
      </c>
      <c r="F470" s="73"/>
      <c r="P470" s="72"/>
      <c r="Q470" s="72"/>
    </row>
    <row r="471" spans="1:17" ht="15">
      <c r="A471" s="36" t="s">
        <v>1189</v>
      </c>
      <c r="B471" s="17" t="s">
        <v>528</v>
      </c>
      <c r="C471" s="54" t="s">
        <v>1190</v>
      </c>
      <c r="D471" s="20">
        <f>SUM(D472:D474)</f>
        <v>31367</v>
      </c>
      <c r="F471" s="73"/>
      <c r="P471" s="72"/>
      <c r="Q471" s="72"/>
    </row>
    <row r="472" spans="1:17" ht="15">
      <c r="A472" s="36" t="s">
        <v>1032</v>
      </c>
      <c r="B472" s="17" t="s">
        <v>528</v>
      </c>
      <c r="C472" s="54" t="s">
        <v>1305</v>
      </c>
      <c r="D472" s="20">
        <f>730+20712.6</f>
        <v>21442.6</v>
      </c>
      <c r="F472" s="73"/>
      <c r="P472" s="72"/>
      <c r="Q472" s="72"/>
    </row>
    <row r="473" spans="1:17" ht="15">
      <c r="A473" s="158" t="s">
        <v>1059</v>
      </c>
      <c r="B473" s="17" t="s">
        <v>528</v>
      </c>
      <c r="C473" s="54" t="s">
        <v>1060</v>
      </c>
      <c r="D473" s="20">
        <f>705+100</f>
        <v>805</v>
      </c>
      <c r="F473" s="73"/>
      <c r="P473" s="72"/>
      <c r="Q473" s="72"/>
    </row>
    <row r="474" spans="1:17" ht="15">
      <c r="A474" s="158" t="s">
        <v>1191</v>
      </c>
      <c r="B474" s="17" t="s">
        <v>528</v>
      </c>
      <c r="C474" s="54" t="s">
        <v>1192</v>
      </c>
      <c r="D474" s="20">
        <f>9023.4+96</f>
        <v>9119.4</v>
      </c>
      <c r="F474" s="73"/>
      <c r="P474" s="72"/>
      <c r="Q474" s="72"/>
    </row>
    <row r="475" spans="1:17" ht="26.25" customHeight="1">
      <c r="A475" s="36" t="s">
        <v>805</v>
      </c>
      <c r="B475" s="17" t="s">
        <v>528</v>
      </c>
      <c r="C475" s="54" t="s">
        <v>402</v>
      </c>
      <c r="D475" s="20">
        <f>D476</f>
        <v>1901</v>
      </c>
      <c r="F475" s="73"/>
      <c r="P475" s="72"/>
      <c r="Q475" s="72"/>
    </row>
    <row r="476" spans="1:17" ht="15">
      <c r="A476" s="158" t="s">
        <v>827</v>
      </c>
      <c r="B476" s="17" t="s">
        <v>528</v>
      </c>
      <c r="C476" s="54" t="s">
        <v>1333</v>
      </c>
      <c r="D476" s="20">
        <f>1823+78</f>
        <v>1901</v>
      </c>
      <c r="F476" s="73"/>
      <c r="P476" s="72"/>
      <c r="Q476" s="72"/>
    </row>
    <row r="477" spans="1:17" ht="24">
      <c r="A477" s="36" t="s">
        <v>805</v>
      </c>
      <c r="B477" s="17" t="s">
        <v>1024</v>
      </c>
      <c r="C477" s="54" t="s">
        <v>402</v>
      </c>
      <c r="D477" s="20">
        <f>D478</f>
        <v>21889.1</v>
      </c>
      <c r="F477" s="73"/>
      <c r="P477" s="72"/>
      <c r="Q477" s="72"/>
    </row>
    <row r="478" spans="1:17" ht="18.75" customHeight="1">
      <c r="A478" s="158" t="s">
        <v>827</v>
      </c>
      <c r="B478" s="17" t="s">
        <v>1024</v>
      </c>
      <c r="C478" s="54" t="s">
        <v>1333</v>
      </c>
      <c r="D478" s="20">
        <f>22029-139.9</f>
        <v>21889.1</v>
      </c>
      <c r="F478" s="73"/>
      <c r="P478" s="72"/>
      <c r="Q478" s="72"/>
    </row>
    <row r="479" spans="1:17" ht="15">
      <c r="A479" s="36" t="s">
        <v>1189</v>
      </c>
      <c r="B479" s="17" t="s">
        <v>1024</v>
      </c>
      <c r="C479" s="54" t="s">
        <v>1190</v>
      </c>
      <c r="D479" s="20">
        <f>D480</f>
        <v>10</v>
      </c>
      <c r="F479" s="73"/>
      <c r="P479" s="72"/>
      <c r="Q479" s="72"/>
    </row>
    <row r="480" spans="1:17" ht="15">
      <c r="A480" s="158" t="s">
        <v>1059</v>
      </c>
      <c r="B480" s="17" t="s">
        <v>1024</v>
      </c>
      <c r="C480" s="54" t="s">
        <v>1060</v>
      </c>
      <c r="D480" s="20">
        <f>10</f>
        <v>10</v>
      </c>
      <c r="F480" s="73"/>
      <c r="P480" s="72"/>
      <c r="Q480" s="72"/>
    </row>
    <row r="481" spans="1:17" ht="15">
      <c r="A481" s="36" t="s">
        <v>1189</v>
      </c>
      <c r="B481" s="17" t="s">
        <v>1027</v>
      </c>
      <c r="C481" s="54" t="s">
        <v>1190</v>
      </c>
      <c r="D481" s="20">
        <f>D482</f>
        <v>5186.3</v>
      </c>
      <c r="F481" s="73"/>
      <c r="P481" s="72"/>
      <c r="Q481" s="72"/>
    </row>
    <row r="482" spans="1:17" ht="15">
      <c r="A482" s="158" t="s">
        <v>1059</v>
      </c>
      <c r="B482" s="17" t="s">
        <v>1027</v>
      </c>
      <c r="C482" s="54" t="s">
        <v>1060</v>
      </c>
      <c r="D482" s="20">
        <f>5146.5+39.8</f>
        <v>5186.3</v>
      </c>
      <c r="F482" s="73"/>
      <c r="P482" s="72"/>
      <c r="Q482" s="72"/>
    </row>
    <row r="483" spans="1:17" ht="46.5" customHeight="1">
      <c r="A483" s="64" t="s">
        <v>1031</v>
      </c>
      <c r="B483" s="17" t="s">
        <v>1028</v>
      </c>
      <c r="C483" s="54" t="s">
        <v>21</v>
      </c>
      <c r="D483" s="20">
        <f>D484</f>
        <v>5719.099999999999</v>
      </c>
      <c r="F483" s="73"/>
      <c r="P483" s="72"/>
      <c r="Q483" s="72"/>
    </row>
    <row r="484" spans="1:17" ht="24">
      <c r="A484" s="36" t="s">
        <v>34</v>
      </c>
      <c r="B484" s="17" t="s">
        <v>1028</v>
      </c>
      <c r="C484" s="54" t="s">
        <v>416</v>
      </c>
      <c r="D484" s="20">
        <f>5692.4+26.7</f>
        <v>5719.099999999999</v>
      </c>
      <c r="F484" s="73"/>
      <c r="P484" s="72"/>
      <c r="Q484" s="72"/>
    </row>
    <row r="485" spans="1:17" ht="26.25" customHeight="1">
      <c r="A485" s="36" t="s">
        <v>805</v>
      </c>
      <c r="B485" s="17" t="s">
        <v>1028</v>
      </c>
      <c r="C485" s="54" t="s">
        <v>402</v>
      </c>
      <c r="D485" s="20">
        <f>D486</f>
        <v>2691.5</v>
      </c>
      <c r="F485" s="73"/>
      <c r="P485" s="72"/>
      <c r="Q485" s="72"/>
    </row>
    <row r="486" spans="1:17" ht="18" customHeight="1">
      <c r="A486" s="158" t="s">
        <v>827</v>
      </c>
      <c r="B486" s="17" t="s">
        <v>1028</v>
      </c>
      <c r="C486" s="54" t="s">
        <v>1333</v>
      </c>
      <c r="D486" s="20">
        <f>2718.2-26.7</f>
        <v>2691.5</v>
      </c>
      <c r="F486" s="73"/>
      <c r="P486" s="72"/>
      <c r="Q486" s="72"/>
    </row>
    <row r="487" spans="1:17" ht="36" customHeight="1">
      <c r="A487" s="64" t="s">
        <v>1031</v>
      </c>
      <c r="B487" s="17" t="s">
        <v>1029</v>
      </c>
      <c r="C487" s="54" t="s">
        <v>21</v>
      </c>
      <c r="D487" s="20">
        <f>D488</f>
        <v>3942.8</v>
      </c>
      <c r="F487" s="73"/>
      <c r="P487" s="72"/>
      <c r="Q487" s="72"/>
    </row>
    <row r="488" spans="1:17" ht="24">
      <c r="A488" s="36" t="s">
        <v>34</v>
      </c>
      <c r="B488" s="17" t="s">
        <v>1029</v>
      </c>
      <c r="C488" s="54" t="s">
        <v>416</v>
      </c>
      <c r="D488" s="20">
        <f>3942.8</f>
        <v>3942.8</v>
      </c>
      <c r="F488" s="73"/>
      <c r="P488" s="72"/>
      <c r="Q488" s="72"/>
    </row>
    <row r="489" spans="1:17" ht="24.75" customHeight="1">
      <c r="A489" s="36" t="s">
        <v>805</v>
      </c>
      <c r="B489" s="17" t="s">
        <v>1029</v>
      </c>
      <c r="C489" s="54" t="s">
        <v>402</v>
      </c>
      <c r="D489" s="20">
        <f>D490</f>
        <v>488.2</v>
      </c>
      <c r="F489" s="73"/>
      <c r="P489" s="72"/>
      <c r="Q489" s="72"/>
    </row>
    <row r="490" spans="1:17" ht="21" customHeight="1">
      <c r="A490" s="158" t="s">
        <v>827</v>
      </c>
      <c r="B490" s="17" t="s">
        <v>1029</v>
      </c>
      <c r="C490" s="54" t="s">
        <v>1333</v>
      </c>
      <c r="D490" s="20">
        <f>488.2</f>
        <v>488.2</v>
      </c>
      <c r="F490" s="73"/>
      <c r="P490" s="72"/>
      <c r="Q490" s="72"/>
    </row>
    <row r="491" spans="1:17" ht="38.25" customHeight="1">
      <c r="A491" s="64" t="s">
        <v>1031</v>
      </c>
      <c r="B491" s="17" t="s">
        <v>1030</v>
      </c>
      <c r="C491" s="54" t="s">
        <v>21</v>
      </c>
      <c r="D491" s="20">
        <f>D492</f>
        <v>3951.6</v>
      </c>
      <c r="F491" s="73"/>
      <c r="P491" s="72"/>
      <c r="Q491" s="72"/>
    </row>
    <row r="492" spans="1:17" ht="24">
      <c r="A492" s="36" t="s">
        <v>34</v>
      </c>
      <c r="B492" s="17" t="s">
        <v>1030</v>
      </c>
      <c r="C492" s="54" t="s">
        <v>416</v>
      </c>
      <c r="D492" s="20">
        <f>3979-27.4</f>
        <v>3951.6</v>
      </c>
      <c r="F492" s="73"/>
      <c r="P492" s="72"/>
      <c r="Q492" s="72"/>
    </row>
    <row r="493" spans="1:17" ht="26.25" customHeight="1">
      <c r="A493" s="36" t="s">
        <v>805</v>
      </c>
      <c r="B493" s="17" t="s">
        <v>1030</v>
      </c>
      <c r="C493" s="54" t="s">
        <v>402</v>
      </c>
      <c r="D493" s="20">
        <f>D494</f>
        <v>884.4</v>
      </c>
      <c r="F493" s="73"/>
      <c r="P493" s="72"/>
      <c r="Q493" s="72"/>
    </row>
    <row r="494" spans="1:17" ht="15">
      <c r="A494" s="158" t="s">
        <v>827</v>
      </c>
      <c r="B494" s="17" t="s">
        <v>1030</v>
      </c>
      <c r="C494" s="54" t="s">
        <v>1333</v>
      </c>
      <c r="D494" s="20">
        <f>857+27.4</f>
        <v>884.4</v>
      </c>
      <c r="F494" s="73"/>
      <c r="P494" s="72"/>
      <c r="Q494" s="72"/>
    </row>
    <row r="495" spans="1:17" ht="41.25" customHeight="1">
      <c r="A495" s="199" t="s">
        <v>985</v>
      </c>
      <c r="B495" s="17" t="s">
        <v>986</v>
      </c>
      <c r="C495" s="54"/>
      <c r="D495" s="20">
        <f>D497+D503+D505</f>
        <v>4988.3</v>
      </c>
      <c r="F495" s="73"/>
      <c r="P495" s="72"/>
      <c r="Q495" s="72"/>
    </row>
    <row r="496" spans="1:17" ht="47.25" customHeight="1">
      <c r="A496" s="64" t="s">
        <v>1031</v>
      </c>
      <c r="B496" s="17" t="s">
        <v>987</v>
      </c>
      <c r="C496" s="54" t="s">
        <v>21</v>
      </c>
      <c r="D496" s="20">
        <f>D497</f>
        <v>4844.8</v>
      </c>
      <c r="F496" s="73"/>
      <c r="P496" s="72"/>
      <c r="Q496" s="72"/>
    </row>
    <row r="497" spans="1:17" ht="24">
      <c r="A497" s="36" t="s">
        <v>34</v>
      </c>
      <c r="B497" s="17" t="s">
        <v>987</v>
      </c>
      <c r="C497" s="54" t="s">
        <v>416</v>
      </c>
      <c r="D497" s="20">
        <f>4844.8</f>
        <v>4844.8</v>
      </c>
      <c r="F497" s="73"/>
      <c r="P497" s="72"/>
      <c r="Q497" s="72"/>
    </row>
    <row r="498" spans="1:17" ht="15" hidden="1">
      <c r="A498" s="158" t="s">
        <v>471</v>
      </c>
      <c r="B498" s="17" t="s">
        <v>986</v>
      </c>
      <c r="C498" s="54"/>
      <c r="D498" s="19"/>
      <c r="F498" s="73"/>
      <c r="P498" s="72"/>
      <c r="Q498" s="72"/>
    </row>
    <row r="499" spans="1:17" ht="24" hidden="1">
      <c r="A499" s="36" t="s">
        <v>34</v>
      </c>
      <c r="B499" s="17" t="s">
        <v>987</v>
      </c>
      <c r="C499" s="54"/>
      <c r="D499" s="19"/>
      <c r="F499" s="73"/>
      <c r="P499" s="72"/>
      <c r="Q499" s="72"/>
    </row>
    <row r="500" spans="1:17" ht="15" hidden="1">
      <c r="A500" s="158" t="s">
        <v>471</v>
      </c>
      <c r="B500" s="17" t="s">
        <v>986</v>
      </c>
      <c r="C500" s="54"/>
      <c r="D500" s="19"/>
      <c r="F500" s="73"/>
      <c r="P500" s="72"/>
      <c r="Q500" s="72"/>
    </row>
    <row r="501" spans="1:17" ht="24" hidden="1">
      <c r="A501" s="36" t="s">
        <v>34</v>
      </c>
      <c r="B501" s="17" t="s">
        <v>987</v>
      </c>
      <c r="C501" s="54"/>
      <c r="D501" s="20"/>
      <c r="F501" s="73"/>
      <c r="P501" s="72"/>
      <c r="Q501" s="72"/>
    </row>
    <row r="502" spans="1:17" ht="21" customHeight="1">
      <c r="A502" s="36" t="s">
        <v>805</v>
      </c>
      <c r="B502" s="17" t="s">
        <v>987</v>
      </c>
      <c r="C502" s="54" t="s">
        <v>402</v>
      </c>
      <c r="D502" s="20">
        <f>D503</f>
        <v>108.5</v>
      </c>
      <c r="F502" s="73"/>
      <c r="P502" s="72"/>
      <c r="Q502" s="72"/>
    </row>
    <row r="503" spans="1:17" ht="21" customHeight="1">
      <c r="A503" s="158" t="s">
        <v>827</v>
      </c>
      <c r="B503" s="17" t="s">
        <v>987</v>
      </c>
      <c r="C503" s="54" t="s">
        <v>1333</v>
      </c>
      <c r="D503" s="20">
        <f>108.5</f>
        <v>108.5</v>
      </c>
      <c r="F503" s="73"/>
      <c r="P503" s="72"/>
      <c r="Q503" s="72"/>
    </row>
    <row r="504" spans="1:17" ht="20.25" customHeight="1">
      <c r="A504" s="36" t="s">
        <v>1189</v>
      </c>
      <c r="B504" s="17" t="s">
        <v>987</v>
      </c>
      <c r="C504" s="54" t="s">
        <v>1190</v>
      </c>
      <c r="D504" s="20">
        <f>D505</f>
        <v>35</v>
      </c>
      <c r="F504" s="73"/>
      <c r="P504" s="72"/>
      <c r="Q504" s="72"/>
    </row>
    <row r="505" spans="1:17" ht="15">
      <c r="A505" s="158" t="s">
        <v>1059</v>
      </c>
      <c r="B505" s="17" t="s">
        <v>987</v>
      </c>
      <c r="C505" s="54" t="s">
        <v>1060</v>
      </c>
      <c r="D505" s="20">
        <f>35</f>
        <v>35</v>
      </c>
      <c r="F505" s="73"/>
      <c r="P505" s="72"/>
      <c r="Q505" s="72"/>
    </row>
    <row r="506" spans="1:17" ht="24">
      <c r="A506" s="33" t="s">
        <v>1358</v>
      </c>
      <c r="B506" s="17" t="s">
        <v>946</v>
      </c>
      <c r="C506" s="54"/>
      <c r="D506" s="20">
        <f>D507+D510+D512+D514+D515</f>
        <v>42128.200000000004</v>
      </c>
      <c r="F506" s="73"/>
      <c r="P506" s="72"/>
      <c r="Q506" s="72"/>
    </row>
    <row r="507" spans="1:17" ht="15">
      <c r="A507" s="36" t="s">
        <v>1189</v>
      </c>
      <c r="B507" s="17" t="s">
        <v>482</v>
      </c>
      <c r="C507" s="54" t="s">
        <v>1190</v>
      </c>
      <c r="D507" s="20">
        <f>D508</f>
        <v>6</v>
      </c>
      <c r="F507" s="73"/>
      <c r="P507" s="72"/>
      <c r="Q507" s="72"/>
    </row>
    <row r="508" spans="1:17" ht="15">
      <c r="A508" s="158" t="s">
        <v>1059</v>
      </c>
      <c r="B508" s="17" t="s">
        <v>482</v>
      </c>
      <c r="C508" s="54" t="s">
        <v>1060</v>
      </c>
      <c r="D508" s="20">
        <f>6</f>
        <v>6</v>
      </c>
      <c r="F508" s="73"/>
      <c r="P508" s="72"/>
      <c r="Q508" s="72"/>
    </row>
    <row r="509" spans="1:17" ht="45" customHeight="1">
      <c r="A509" s="64" t="s">
        <v>1031</v>
      </c>
      <c r="B509" s="17" t="s">
        <v>482</v>
      </c>
      <c r="C509" s="54" t="s">
        <v>21</v>
      </c>
      <c r="D509" s="20">
        <f>D510</f>
        <v>3257.8</v>
      </c>
      <c r="F509" s="73"/>
      <c r="P509" s="72"/>
      <c r="Q509" s="72"/>
    </row>
    <row r="510" spans="1:17" ht="15">
      <c r="A510" s="158" t="s">
        <v>310</v>
      </c>
      <c r="B510" s="17" t="s">
        <v>482</v>
      </c>
      <c r="C510" s="54" t="s">
        <v>311</v>
      </c>
      <c r="D510" s="20">
        <f>3244.8+13</f>
        <v>3257.8</v>
      </c>
      <c r="F510" s="73"/>
      <c r="P510" s="72"/>
      <c r="Q510" s="72"/>
    </row>
    <row r="511" spans="1:17" ht="20.25" customHeight="1">
      <c r="A511" s="36" t="s">
        <v>805</v>
      </c>
      <c r="B511" s="17" t="s">
        <v>482</v>
      </c>
      <c r="C511" s="54" t="s">
        <v>402</v>
      </c>
      <c r="D511" s="20">
        <f>D512</f>
        <v>1849.7</v>
      </c>
      <c r="F511" s="73"/>
      <c r="P511" s="72"/>
      <c r="Q511" s="72"/>
    </row>
    <row r="512" spans="1:17" ht="17.25" customHeight="1">
      <c r="A512" s="158" t="s">
        <v>471</v>
      </c>
      <c r="B512" s="17" t="s">
        <v>482</v>
      </c>
      <c r="C512" s="54" t="s">
        <v>1333</v>
      </c>
      <c r="D512" s="20">
        <f>1720.7+129</f>
        <v>1849.7</v>
      </c>
      <c r="F512" s="73"/>
      <c r="P512" s="72"/>
      <c r="Q512" s="72"/>
    </row>
    <row r="513" spans="1:17" ht="19.5" customHeight="1">
      <c r="A513" s="36" t="s">
        <v>1189</v>
      </c>
      <c r="B513" s="17" t="s">
        <v>815</v>
      </c>
      <c r="C513" s="54" t="s">
        <v>1190</v>
      </c>
      <c r="D513" s="20">
        <f>D514</f>
        <v>17085</v>
      </c>
      <c r="F513" s="73"/>
      <c r="P513" s="72"/>
      <c r="Q513" s="72"/>
    </row>
    <row r="514" spans="1:17" ht="15">
      <c r="A514" s="158" t="s">
        <v>1059</v>
      </c>
      <c r="B514" s="17" t="s">
        <v>815</v>
      </c>
      <c r="C514" s="54" t="s">
        <v>1060</v>
      </c>
      <c r="D514" s="20">
        <f>17085</f>
        <v>17085</v>
      </c>
      <c r="F514" s="73"/>
      <c r="P514" s="72"/>
      <c r="Q514" s="72"/>
    </row>
    <row r="515" spans="1:17" ht="24">
      <c r="A515" s="36" t="s">
        <v>805</v>
      </c>
      <c r="B515" s="17" t="s">
        <v>1434</v>
      </c>
      <c r="C515" s="54" t="s">
        <v>402</v>
      </c>
      <c r="D515" s="20">
        <f>D516</f>
        <v>19929.700000000004</v>
      </c>
      <c r="F515" s="73"/>
      <c r="P515" s="72"/>
      <c r="Q515" s="72"/>
    </row>
    <row r="516" spans="1:17" ht="15">
      <c r="A516" s="158" t="s">
        <v>471</v>
      </c>
      <c r="B516" s="17" t="s">
        <v>1434</v>
      </c>
      <c r="C516" s="54" t="s">
        <v>1333</v>
      </c>
      <c r="D516" s="20">
        <f>34197.3-14125.6-13-129</f>
        <v>19929.700000000004</v>
      </c>
      <c r="F516" s="73"/>
      <c r="P516" s="72"/>
      <c r="Q516" s="72"/>
    </row>
    <row r="517" spans="1:17" ht="30.75" customHeight="1">
      <c r="A517" s="33" t="s">
        <v>1225</v>
      </c>
      <c r="B517" s="17" t="s">
        <v>960</v>
      </c>
      <c r="C517" s="54"/>
      <c r="D517" s="20">
        <f>D518+D520+D522+D524+D526</f>
        <v>22161.3</v>
      </c>
      <c r="F517" s="73"/>
      <c r="P517" s="72"/>
      <c r="Q517" s="72"/>
    </row>
    <row r="518" spans="1:17" ht="21.75" customHeight="1">
      <c r="A518" s="64" t="s">
        <v>1031</v>
      </c>
      <c r="B518" s="17" t="s">
        <v>961</v>
      </c>
      <c r="C518" s="54" t="s">
        <v>21</v>
      </c>
      <c r="D518" s="20">
        <f>D519</f>
        <v>2985.3</v>
      </c>
      <c r="F518" s="73"/>
      <c r="P518" s="72"/>
      <c r="Q518" s="72"/>
    </row>
    <row r="519" spans="1:17" ht="24">
      <c r="A519" s="36" t="s">
        <v>34</v>
      </c>
      <c r="B519" s="17" t="s">
        <v>961</v>
      </c>
      <c r="C519" s="54" t="s">
        <v>416</v>
      </c>
      <c r="D519" s="20">
        <f>2985.3</f>
        <v>2985.3</v>
      </c>
      <c r="F519" s="73"/>
      <c r="P519" s="72"/>
      <c r="Q519" s="72"/>
    </row>
    <row r="520" spans="1:17" ht="34.5" customHeight="1">
      <c r="A520" s="64" t="s">
        <v>1031</v>
      </c>
      <c r="B520" s="17" t="s">
        <v>962</v>
      </c>
      <c r="C520" s="54" t="s">
        <v>21</v>
      </c>
      <c r="D520" s="20">
        <f>D521</f>
        <v>18721.2</v>
      </c>
      <c r="F520" s="73"/>
      <c r="P520" s="72"/>
      <c r="Q520" s="72"/>
    </row>
    <row r="521" spans="1:17" ht="24">
      <c r="A521" s="36" t="s">
        <v>34</v>
      </c>
      <c r="B521" s="17" t="s">
        <v>962</v>
      </c>
      <c r="C521" s="17" t="s">
        <v>416</v>
      </c>
      <c r="D521" s="20">
        <f>18721.2</f>
        <v>18721.2</v>
      </c>
      <c r="F521" s="73"/>
      <c r="P521" s="72"/>
      <c r="Q521" s="72"/>
    </row>
    <row r="522" spans="1:17" ht="21" customHeight="1">
      <c r="A522" s="36" t="s">
        <v>805</v>
      </c>
      <c r="B522" s="17" t="s">
        <v>962</v>
      </c>
      <c r="C522" s="17" t="s">
        <v>402</v>
      </c>
      <c r="D522" s="20">
        <f>D523</f>
        <v>350.1</v>
      </c>
      <c r="F522" s="73"/>
      <c r="P522" s="72"/>
      <c r="Q522" s="72"/>
    </row>
    <row r="523" spans="1:17" ht="23.25" customHeight="1">
      <c r="A523" s="158" t="s">
        <v>471</v>
      </c>
      <c r="B523" s="17" t="s">
        <v>962</v>
      </c>
      <c r="C523" s="54" t="s">
        <v>1333</v>
      </c>
      <c r="D523" s="55">
        <f>350.1</f>
        <v>350.1</v>
      </c>
      <c r="F523" s="73"/>
      <c r="P523" s="72"/>
      <c r="Q523" s="72"/>
    </row>
    <row r="524" spans="1:17" ht="22.5" customHeight="1">
      <c r="A524" s="36" t="s">
        <v>1189</v>
      </c>
      <c r="B524" s="17" t="s">
        <v>962</v>
      </c>
      <c r="C524" s="54" t="s">
        <v>1190</v>
      </c>
      <c r="D524" s="55">
        <f>D525</f>
        <v>100</v>
      </c>
      <c r="F524" s="73"/>
      <c r="P524" s="72"/>
      <c r="Q524" s="72"/>
    </row>
    <row r="525" spans="1:17" ht="15">
      <c r="A525" s="158" t="s">
        <v>1059</v>
      </c>
      <c r="B525" s="17" t="s">
        <v>962</v>
      </c>
      <c r="C525" s="54" t="s">
        <v>1060</v>
      </c>
      <c r="D525" s="289">
        <f>100</f>
        <v>100</v>
      </c>
      <c r="F525" s="73"/>
      <c r="P525" s="72"/>
      <c r="Q525" s="72"/>
    </row>
    <row r="526" spans="1:17" ht="19.5" customHeight="1">
      <c r="A526" s="36" t="s">
        <v>1189</v>
      </c>
      <c r="B526" s="17" t="s">
        <v>963</v>
      </c>
      <c r="C526" s="54" t="s">
        <v>1190</v>
      </c>
      <c r="D526" s="289">
        <f>D527</f>
        <v>4.7</v>
      </c>
      <c r="F526" s="73"/>
      <c r="P526" s="72"/>
      <c r="Q526" s="72"/>
    </row>
    <row r="527" spans="1:17" ht="15">
      <c r="A527" s="158" t="s">
        <v>1059</v>
      </c>
      <c r="B527" s="17" t="s">
        <v>963</v>
      </c>
      <c r="C527" s="54" t="s">
        <v>1060</v>
      </c>
      <c r="D527" s="289">
        <f>4.7</f>
        <v>4.7</v>
      </c>
      <c r="F527" s="73"/>
      <c r="P527" s="72"/>
      <c r="Q527" s="72"/>
    </row>
    <row r="528" spans="1:17" ht="24">
      <c r="A528" s="33" t="s">
        <v>453</v>
      </c>
      <c r="B528" s="17" t="s">
        <v>749</v>
      </c>
      <c r="C528" s="54"/>
      <c r="D528" s="20">
        <f>D529+D532+D534+D536</f>
        <v>5772.8</v>
      </c>
      <c r="F528" s="73"/>
      <c r="P528" s="72"/>
      <c r="Q528" s="72"/>
    </row>
    <row r="529" spans="1:17" ht="15">
      <c r="A529" s="36" t="s">
        <v>1189</v>
      </c>
      <c r="B529" s="17" t="s">
        <v>816</v>
      </c>
      <c r="C529" s="54" t="s">
        <v>1190</v>
      </c>
      <c r="D529" s="20">
        <f>D530</f>
        <v>3</v>
      </c>
      <c r="F529" s="73"/>
      <c r="P529" s="72"/>
      <c r="Q529" s="72"/>
    </row>
    <row r="530" spans="1:17" ht="15">
      <c r="A530" s="158" t="s">
        <v>1059</v>
      </c>
      <c r="B530" s="17" t="s">
        <v>816</v>
      </c>
      <c r="C530" s="54" t="s">
        <v>1060</v>
      </c>
      <c r="D530" s="20">
        <f>3</f>
        <v>3</v>
      </c>
      <c r="F530" s="73"/>
      <c r="P530" s="72"/>
      <c r="Q530" s="72"/>
    </row>
    <row r="531" spans="1:17" ht="48" customHeight="1">
      <c r="A531" s="64" t="s">
        <v>1031</v>
      </c>
      <c r="B531" s="17" t="s">
        <v>750</v>
      </c>
      <c r="C531" s="54" t="s">
        <v>21</v>
      </c>
      <c r="D531" s="20">
        <f>D532</f>
        <v>4938.5</v>
      </c>
      <c r="F531" s="73"/>
      <c r="P531" s="72"/>
      <c r="Q531" s="72"/>
    </row>
    <row r="532" spans="1:17" ht="23.25" customHeight="1">
      <c r="A532" s="158" t="s">
        <v>310</v>
      </c>
      <c r="B532" s="17" t="s">
        <v>750</v>
      </c>
      <c r="C532" s="54" t="s">
        <v>311</v>
      </c>
      <c r="D532" s="20">
        <f>4600.1+338.4</f>
        <v>4938.5</v>
      </c>
      <c r="F532" s="73"/>
      <c r="P532" s="72"/>
      <c r="Q532" s="72"/>
    </row>
    <row r="533" spans="1:17" ht="27.75" customHeight="1">
      <c r="A533" s="36" t="s">
        <v>805</v>
      </c>
      <c r="B533" s="17" t="s">
        <v>750</v>
      </c>
      <c r="C533" s="54" t="s">
        <v>402</v>
      </c>
      <c r="D533" s="20">
        <f>D534</f>
        <v>827.3000000000001</v>
      </c>
      <c r="F533" s="73"/>
      <c r="P533" s="72"/>
      <c r="Q533" s="72"/>
    </row>
    <row r="534" spans="1:17" ht="21.75" customHeight="1">
      <c r="A534" s="158" t="s">
        <v>827</v>
      </c>
      <c r="B534" s="17" t="s">
        <v>750</v>
      </c>
      <c r="C534" s="54" t="s">
        <v>1333</v>
      </c>
      <c r="D534" s="20">
        <f>1165.7-338.4</f>
        <v>827.3000000000001</v>
      </c>
      <c r="F534" s="73"/>
      <c r="P534" s="72"/>
      <c r="Q534" s="72"/>
    </row>
    <row r="535" spans="1:17" ht="22.5" customHeight="1">
      <c r="A535" s="36" t="s">
        <v>1189</v>
      </c>
      <c r="B535" s="17" t="s">
        <v>750</v>
      </c>
      <c r="C535" s="54" t="s">
        <v>1190</v>
      </c>
      <c r="D535" s="20">
        <f>D536</f>
        <v>4</v>
      </c>
      <c r="F535" s="73"/>
      <c r="P535" s="72"/>
      <c r="Q535" s="72"/>
    </row>
    <row r="536" spans="1:17" ht="18.75" customHeight="1">
      <c r="A536" s="158" t="s">
        <v>1059</v>
      </c>
      <c r="B536" s="17" t="s">
        <v>750</v>
      </c>
      <c r="C536" s="54" t="s">
        <v>1060</v>
      </c>
      <c r="D536" s="20">
        <f>4</f>
        <v>4</v>
      </c>
      <c r="F536" s="73"/>
      <c r="P536" s="72"/>
      <c r="Q536" s="72"/>
    </row>
    <row r="537" spans="1:17" ht="36">
      <c r="A537" s="199" t="s">
        <v>488</v>
      </c>
      <c r="B537" s="17" t="s">
        <v>751</v>
      </c>
      <c r="C537" s="54"/>
      <c r="D537" s="20">
        <f>D538++D540+D542</f>
        <v>55396.2</v>
      </c>
      <c r="F537" s="73"/>
      <c r="P537" s="72"/>
      <c r="Q537" s="72"/>
    </row>
    <row r="538" spans="1:17" ht="28.5" customHeight="1">
      <c r="A538" s="36" t="s">
        <v>803</v>
      </c>
      <c r="B538" s="17" t="s">
        <v>752</v>
      </c>
      <c r="C538" s="54" t="s">
        <v>641</v>
      </c>
      <c r="D538" s="20">
        <f>D539</f>
        <v>23561.2</v>
      </c>
      <c r="F538" s="73"/>
      <c r="P538" s="72"/>
      <c r="Q538" s="72"/>
    </row>
    <row r="539" spans="1:17" ht="23.25" customHeight="1">
      <c r="A539" s="18" t="s">
        <v>418</v>
      </c>
      <c r="B539" s="17" t="s">
        <v>752</v>
      </c>
      <c r="C539" s="54" t="s">
        <v>419</v>
      </c>
      <c r="D539" s="20">
        <f>28061.2-4500</f>
        <v>23561.2</v>
      </c>
      <c r="F539" s="73"/>
      <c r="P539" s="72"/>
      <c r="Q539" s="72"/>
    </row>
    <row r="540" spans="1:17" ht="23.25" customHeight="1">
      <c r="A540" s="36" t="s">
        <v>805</v>
      </c>
      <c r="B540" s="17" t="s">
        <v>1210</v>
      </c>
      <c r="C540" s="54" t="s">
        <v>402</v>
      </c>
      <c r="D540" s="20">
        <f>D541</f>
        <v>4676</v>
      </c>
      <c r="F540" s="73"/>
      <c r="P540" s="72"/>
      <c r="Q540" s="72"/>
    </row>
    <row r="541" spans="1:17" ht="23.25" customHeight="1">
      <c r="A541" s="158" t="s">
        <v>827</v>
      </c>
      <c r="B541" s="17" t="s">
        <v>1210</v>
      </c>
      <c r="C541" s="54" t="s">
        <v>1333</v>
      </c>
      <c r="D541" s="20">
        <f>4676</f>
        <v>4676</v>
      </c>
      <c r="F541" s="73"/>
      <c r="P541" s="72"/>
      <c r="Q541" s="72"/>
    </row>
    <row r="542" spans="1:17" ht="23.25" customHeight="1">
      <c r="A542" s="36" t="s">
        <v>803</v>
      </c>
      <c r="B542" s="17" t="s">
        <v>1437</v>
      </c>
      <c r="C542" s="54" t="s">
        <v>641</v>
      </c>
      <c r="D542" s="20">
        <f>D543</f>
        <v>27159</v>
      </c>
      <c r="F542" s="73"/>
      <c r="P542" s="72"/>
      <c r="Q542" s="72"/>
    </row>
    <row r="543" spans="1:17" ht="23.25" customHeight="1">
      <c r="A543" s="18" t="s">
        <v>418</v>
      </c>
      <c r="B543" s="17" t="s">
        <v>1437</v>
      </c>
      <c r="C543" s="54" t="s">
        <v>419</v>
      </c>
      <c r="D543" s="20">
        <v>27159</v>
      </c>
      <c r="F543" s="73"/>
      <c r="P543" s="72"/>
      <c r="Q543" s="72"/>
    </row>
    <row r="544" spans="1:17" ht="36">
      <c r="A544" s="33" t="s">
        <v>523</v>
      </c>
      <c r="B544" s="17" t="s">
        <v>524</v>
      </c>
      <c r="C544" s="54"/>
      <c r="D544" s="20">
        <f>D546+D548+D550</f>
        <v>37499.799999999996</v>
      </c>
      <c r="F544" s="73"/>
      <c r="P544" s="72"/>
      <c r="Q544" s="72"/>
    </row>
    <row r="545" spans="1:17" ht="49.5" customHeight="1">
      <c r="A545" s="64" t="s">
        <v>1031</v>
      </c>
      <c r="B545" s="17" t="s">
        <v>525</v>
      </c>
      <c r="C545" s="54" t="s">
        <v>21</v>
      </c>
      <c r="D545" s="20">
        <f>D546</f>
        <v>36562.7</v>
      </c>
      <c r="F545" s="73"/>
      <c r="P545" s="72"/>
      <c r="Q545" s="72"/>
    </row>
    <row r="546" spans="1:17" ht="24">
      <c r="A546" s="36" t="s">
        <v>34</v>
      </c>
      <c r="B546" s="17" t="s">
        <v>525</v>
      </c>
      <c r="C546" s="54" t="s">
        <v>416</v>
      </c>
      <c r="D546" s="20">
        <v>36562.7</v>
      </c>
      <c r="F546" s="73"/>
      <c r="P546" s="72"/>
      <c r="Q546" s="72"/>
    </row>
    <row r="547" spans="1:17" ht="26.25" customHeight="1">
      <c r="A547" s="36" t="s">
        <v>805</v>
      </c>
      <c r="B547" s="17" t="s">
        <v>525</v>
      </c>
      <c r="C547" s="54" t="s">
        <v>402</v>
      </c>
      <c r="D547" s="20">
        <f>D548</f>
        <v>933.4</v>
      </c>
      <c r="F547" s="73"/>
      <c r="P547" s="72"/>
      <c r="Q547" s="72"/>
    </row>
    <row r="548" spans="1:17" ht="19.5" customHeight="1">
      <c r="A548" s="158" t="s">
        <v>827</v>
      </c>
      <c r="B548" s="17" t="s">
        <v>525</v>
      </c>
      <c r="C548" s="54" t="s">
        <v>1333</v>
      </c>
      <c r="D548" s="20">
        <f>933.4</f>
        <v>933.4</v>
      </c>
      <c r="F548" s="73"/>
      <c r="P548" s="72"/>
      <c r="Q548" s="72"/>
    </row>
    <row r="549" spans="1:17" ht="15.75" customHeight="1">
      <c r="A549" s="36" t="s">
        <v>1189</v>
      </c>
      <c r="B549" s="17" t="s">
        <v>526</v>
      </c>
      <c r="C549" s="54" t="s">
        <v>1190</v>
      </c>
      <c r="D549" s="20">
        <f>D550</f>
        <v>3.7</v>
      </c>
      <c r="F549" s="73"/>
      <c r="P549" s="72"/>
      <c r="Q549" s="72"/>
    </row>
    <row r="550" spans="1:17" ht="15.75" customHeight="1">
      <c r="A550" s="158" t="s">
        <v>1059</v>
      </c>
      <c r="B550" s="17" t="s">
        <v>526</v>
      </c>
      <c r="C550" s="54" t="s">
        <v>1060</v>
      </c>
      <c r="D550" s="20">
        <f>3.7</f>
        <v>3.7</v>
      </c>
      <c r="F550" s="73"/>
      <c r="P550" s="72"/>
      <c r="Q550" s="72"/>
    </row>
    <row r="551" spans="1:17" ht="75.75" customHeight="1">
      <c r="A551" s="33" t="s">
        <v>941</v>
      </c>
      <c r="B551" s="17" t="s">
        <v>943</v>
      </c>
      <c r="C551" s="54"/>
      <c r="D551" s="20">
        <f>D552+D554+D558+D560+D562+D564+D556</f>
        <v>365024.9</v>
      </c>
      <c r="F551" s="73"/>
      <c r="P551" s="72"/>
      <c r="Q551" s="72"/>
    </row>
    <row r="552" spans="1:17" ht="34.5" customHeight="1" hidden="1">
      <c r="A552" s="18" t="s">
        <v>270</v>
      </c>
      <c r="B552" s="17" t="s">
        <v>896</v>
      </c>
      <c r="C552" s="54" t="s">
        <v>312</v>
      </c>
      <c r="D552" s="20">
        <f>D553</f>
        <v>0</v>
      </c>
      <c r="F552" s="73"/>
      <c r="P552" s="72"/>
      <c r="Q552" s="72"/>
    </row>
    <row r="553" spans="1:17" ht="45.75" customHeight="1" hidden="1">
      <c r="A553" s="18" t="s">
        <v>1175</v>
      </c>
      <c r="B553" s="17" t="s">
        <v>896</v>
      </c>
      <c r="C553" s="54" t="s">
        <v>1174</v>
      </c>
      <c r="D553" s="20">
        <f>193576.2-193576.2</f>
        <v>0</v>
      </c>
      <c r="F553" s="73"/>
      <c r="P553" s="72"/>
      <c r="Q553" s="72"/>
    </row>
    <row r="554" spans="1:17" ht="24" customHeight="1">
      <c r="A554" s="36" t="s">
        <v>805</v>
      </c>
      <c r="B554" s="17" t="s">
        <v>942</v>
      </c>
      <c r="C554" s="54" t="s">
        <v>402</v>
      </c>
      <c r="D554" s="20">
        <f>D555</f>
        <v>248.20000000000005</v>
      </c>
      <c r="F554" s="73"/>
      <c r="P554" s="72"/>
      <c r="Q554" s="72"/>
    </row>
    <row r="555" spans="1:17" ht="17.25" customHeight="1">
      <c r="A555" s="158" t="s">
        <v>827</v>
      </c>
      <c r="B555" s="17" t="s">
        <v>942</v>
      </c>
      <c r="C555" s="54" t="s">
        <v>1333</v>
      </c>
      <c r="D555" s="20">
        <f>548.2-300</f>
        <v>248.20000000000005</v>
      </c>
      <c r="F555" s="73"/>
      <c r="P555" s="72"/>
      <c r="Q555" s="72"/>
    </row>
    <row r="556" spans="1:17" ht="25.5" customHeight="1">
      <c r="A556" s="158" t="s">
        <v>486</v>
      </c>
      <c r="B556" s="17" t="s">
        <v>944</v>
      </c>
      <c r="C556" s="26" t="s">
        <v>402</v>
      </c>
      <c r="D556" s="20">
        <f>D557</f>
        <v>1340.3000000000002</v>
      </c>
      <c r="F556" s="73"/>
      <c r="P556" s="72"/>
      <c r="Q556" s="72"/>
    </row>
    <row r="557" spans="1:17" ht="17.25" customHeight="1">
      <c r="A557" s="158" t="s">
        <v>471</v>
      </c>
      <c r="B557" s="17" t="s">
        <v>944</v>
      </c>
      <c r="C557" s="26" t="s">
        <v>1333</v>
      </c>
      <c r="D557" s="20">
        <f>1355-2.1-12.6</f>
        <v>1340.3000000000002</v>
      </c>
      <c r="F557" s="73"/>
      <c r="P557" s="72"/>
      <c r="Q557" s="72"/>
    </row>
    <row r="558" spans="1:17" ht="22.5" customHeight="1">
      <c r="A558" s="36" t="s">
        <v>805</v>
      </c>
      <c r="B558" s="17" t="s">
        <v>7</v>
      </c>
      <c r="C558" s="54" t="s">
        <v>402</v>
      </c>
      <c r="D558" s="20">
        <f>D559</f>
        <v>336345.80000000005</v>
      </c>
      <c r="F558" s="73"/>
      <c r="P558" s="72"/>
      <c r="Q558" s="72"/>
    </row>
    <row r="559" spans="1:17" ht="21" customHeight="1">
      <c r="A559" s="158" t="s">
        <v>827</v>
      </c>
      <c r="B559" s="17" t="s">
        <v>7</v>
      </c>
      <c r="C559" s="54" t="s">
        <v>1333</v>
      </c>
      <c r="D559" s="20">
        <f>203854.7+124060+1054+3938.3-200+2273.4+1365.4</f>
        <v>336345.80000000005</v>
      </c>
      <c r="F559" s="73"/>
      <c r="P559" s="72"/>
      <c r="Q559" s="72"/>
    </row>
    <row r="560" spans="1:17" ht="20.25" customHeight="1">
      <c r="A560" s="36" t="s">
        <v>1189</v>
      </c>
      <c r="B560" s="17" t="s">
        <v>7</v>
      </c>
      <c r="C560" s="54" t="s">
        <v>1190</v>
      </c>
      <c r="D560" s="20">
        <f>D561</f>
        <v>42.1</v>
      </c>
      <c r="F560" s="73"/>
      <c r="P560" s="72"/>
      <c r="Q560" s="72"/>
    </row>
    <row r="561" spans="1:17" ht="19.5" customHeight="1">
      <c r="A561" s="158" t="s">
        <v>2</v>
      </c>
      <c r="B561" s="17" t="s">
        <v>7</v>
      </c>
      <c r="C561" s="54" t="s">
        <v>1305</v>
      </c>
      <c r="D561" s="20">
        <f>40+2.1</f>
        <v>42.1</v>
      </c>
      <c r="F561" s="73"/>
      <c r="P561" s="72"/>
      <c r="Q561" s="72"/>
    </row>
    <row r="562" spans="1:17" ht="26.25" customHeight="1" hidden="1">
      <c r="A562" s="36" t="s">
        <v>805</v>
      </c>
      <c r="B562" s="17" t="s">
        <v>944</v>
      </c>
      <c r="C562" s="54" t="s">
        <v>402</v>
      </c>
      <c r="D562" s="20">
        <f>D563</f>
        <v>0</v>
      </c>
      <c r="F562" s="73"/>
      <c r="P562" s="72"/>
      <c r="Q562" s="72"/>
    </row>
    <row r="563" spans="1:17" ht="19.5" customHeight="1" hidden="1">
      <c r="A563" s="158" t="s">
        <v>827</v>
      </c>
      <c r="B563" s="17" t="s">
        <v>944</v>
      </c>
      <c r="C563" s="54" t="s">
        <v>1333</v>
      </c>
      <c r="D563" s="20"/>
      <c r="F563" s="73"/>
      <c r="P563" s="72"/>
      <c r="Q563" s="72"/>
    </row>
    <row r="564" spans="1:17" ht="26.25" customHeight="1">
      <c r="A564" s="36" t="s">
        <v>805</v>
      </c>
      <c r="B564" s="17" t="s">
        <v>1022</v>
      </c>
      <c r="C564" s="54" t="s">
        <v>402</v>
      </c>
      <c r="D564" s="20">
        <f>D565</f>
        <v>27048.5</v>
      </c>
      <c r="F564" s="73"/>
      <c r="P564" s="72"/>
      <c r="Q564" s="72"/>
    </row>
    <row r="565" spans="1:17" ht="23.25" customHeight="1">
      <c r="A565" s="158" t="s">
        <v>827</v>
      </c>
      <c r="B565" s="17" t="s">
        <v>1022</v>
      </c>
      <c r="C565" s="54" t="s">
        <v>1333</v>
      </c>
      <c r="D565" s="20">
        <f>29222.4-1173.9-1000</f>
        <v>27048.5</v>
      </c>
      <c r="F565" s="73"/>
      <c r="P565" s="72"/>
      <c r="Q565" s="72"/>
    </row>
    <row r="566" spans="1:17" ht="24.75" customHeight="1">
      <c r="A566" s="251" t="s">
        <v>656</v>
      </c>
      <c r="B566" s="239" t="s">
        <v>1374</v>
      </c>
      <c r="C566" s="217"/>
      <c r="D566" s="201">
        <f>D567</f>
        <v>23673.9</v>
      </c>
      <c r="F566" s="73"/>
      <c r="P566" s="72"/>
      <c r="Q566" s="72"/>
    </row>
    <row r="567" spans="1:17" ht="52.5" customHeight="1">
      <c r="A567" s="33" t="s">
        <v>1016</v>
      </c>
      <c r="B567" s="17" t="s">
        <v>1017</v>
      </c>
      <c r="C567" s="54"/>
      <c r="D567" s="20">
        <f>D569+D571</f>
        <v>23673.9</v>
      </c>
      <c r="F567" s="73"/>
      <c r="P567" s="72"/>
      <c r="Q567" s="72"/>
    </row>
    <row r="568" spans="1:17" ht="30.75" customHeight="1">
      <c r="A568" s="36" t="s">
        <v>459</v>
      </c>
      <c r="B568" s="17" t="s">
        <v>1018</v>
      </c>
      <c r="C568" s="54" t="s">
        <v>641</v>
      </c>
      <c r="D568" s="20">
        <f>D569</f>
        <v>11317.5</v>
      </c>
      <c r="F568" s="73"/>
      <c r="P568" s="72"/>
      <c r="Q568" s="72"/>
    </row>
    <row r="569" spans="1:17" ht="18.75" customHeight="1">
      <c r="A569" s="18" t="s">
        <v>418</v>
      </c>
      <c r="B569" s="17" t="s">
        <v>1018</v>
      </c>
      <c r="C569" s="54" t="s">
        <v>419</v>
      </c>
      <c r="D569" s="20">
        <f>11094.5+223</f>
        <v>11317.5</v>
      </c>
      <c r="F569" s="73"/>
      <c r="P569" s="72"/>
      <c r="Q569" s="72"/>
    </row>
    <row r="570" spans="1:17" ht="23.25" customHeight="1">
      <c r="A570" s="36" t="s">
        <v>459</v>
      </c>
      <c r="B570" s="17" t="s">
        <v>1019</v>
      </c>
      <c r="C570" s="54" t="s">
        <v>641</v>
      </c>
      <c r="D570" s="20">
        <f>D571</f>
        <v>12356.4</v>
      </c>
      <c r="F570" s="73"/>
      <c r="P570" s="72"/>
      <c r="Q570" s="72"/>
    </row>
    <row r="571" spans="1:17" ht="18.75" customHeight="1">
      <c r="A571" s="18" t="s">
        <v>1103</v>
      </c>
      <c r="B571" s="17" t="s">
        <v>1019</v>
      </c>
      <c r="C571" s="54" t="s">
        <v>419</v>
      </c>
      <c r="D571" s="20">
        <f>9256.4+2100+1000</f>
        <v>12356.4</v>
      </c>
      <c r="F571" s="73"/>
      <c r="P571" s="72"/>
      <c r="Q571" s="72"/>
    </row>
    <row r="572" spans="1:17" ht="26.25" customHeight="1" hidden="1">
      <c r="A572" s="18" t="s">
        <v>758</v>
      </c>
      <c r="B572" s="17" t="s">
        <v>1019</v>
      </c>
      <c r="C572" s="54" t="s">
        <v>419</v>
      </c>
      <c r="D572" s="20"/>
      <c r="F572" s="73"/>
      <c r="P572" s="72"/>
      <c r="Q572" s="72"/>
    </row>
    <row r="573" spans="1:17" ht="26.25" customHeight="1">
      <c r="A573" s="215" t="s">
        <v>454</v>
      </c>
      <c r="B573" s="239" t="s">
        <v>1296</v>
      </c>
      <c r="C573" s="217"/>
      <c r="D573" s="201">
        <f>D574+D579+D582</f>
        <v>349231.89999999997</v>
      </c>
      <c r="F573" s="73"/>
      <c r="P573" s="72"/>
      <c r="Q573" s="72"/>
    </row>
    <row r="574" spans="1:17" ht="36">
      <c r="A574" s="33" t="s">
        <v>206</v>
      </c>
      <c r="B574" s="17" t="s">
        <v>207</v>
      </c>
      <c r="C574" s="54"/>
      <c r="D574" s="20">
        <f>D576+D578</f>
        <v>223607.09999999998</v>
      </c>
      <c r="F574" s="73"/>
      <c r="P574" s="72"/>
      <c r="Q574" s="72"/>
    </row>
    <row r="575" spans="1:17" ht="28.5" customHeight="1">
      <c r="A575" s="36" t="s">
        <v>805</v>
      </c>
      <c r="B575" s="17" t="s">
        <v>210</v>
      </c>
      <c r="C575" s="54" t="s">
        <v>402</v>
      </c>
      <c r="D575" s="20">
        <f>D576</f>
        <v>113133.4</v>
      </c>
      <c r="F575" s="73"/>
      <c r="P575" s="72"/>
      <c r="Q575" s="72"/>
    </row>
    <row r="576" spans="1:17" ht="23.25" customHeight="1">
      <c r="A576" s="158" t="s">
        <v>827</v>
      </c>
      <c r="B576" s="17" t="s">
        <v>210</v>
      </c>
      <c r="C576" s="54" t="s">
        <v>1333</v>
      </c>
      <c r="D576" s="20">
        <f>110453.4-820+3500</f>
        <v>113133.4</v>
      </c>
      <c r="F576" s="73"/>
      <c r="P576" s="72"/>
      <c r="Q576" s="72"/>
    </row>
    <row r="577" spans="1:17" ht="28.5" customHeight="1">
      <c r="A577" s="36" t="s">
        <v>805</v>
      </c>
      <c r="B577" s="17" t="s">
        <v>210</v>
      </c>
      <c r="C577" s="54" t="s">
        <v>641</v>
      </c>
      <c r="D577" s="20">
        <f>D578</f>
        <v>110473.7</v>
      </c>
      <c r="F577" s="73"/>
      <c r="P577" s="72"/>
      <c r="Q577" s="72"/>
    </row>
    <row r="578" spans="1:17" ht="21" customHeight="1">
      <c r="A578" s="18" t="s">
        <v>418</v>
      </c>
      <c r="B578" s="17" t="s">
        <v>210</v>
      </c>
      <c r="C578" s="54" t="s">
        <v>419</v>
      </c>
      <c r="D578" s="80">
        <f>110721.7-248</f>
        <v>110473.7</v>
      </c>
      <c r="F578" s="73"/>
      <c r="P578" s="72"/>
      <c r="Q578" s="72"/>
    </row>
    <row r="579" spans="1:17" ht="40.5" customHeight="1">
      <c r="A579" s="294" t="s">
        <v>208</v>
      </c>
      <c r="B579" s="17" t="s">
        <v>209</v>
      </c>
      <c r="C579" s="54"/>
      <c r="D579" s="20">
        <f>D581</f>
        <v>24180.9</v>
      </c>
      <c r="F579" s="73"/>
      <c r="P579" s="72"/>
      <c r="Q579" s="72"/>
    </row>
    <row r="580" spans="1:17" ht="23.25" customHeight="1">
      <c r="A580" s="36" t="s">
        <v>805</v>
      </c>
      <c r="B580" s="17" t="s">
        <v>211</v>
      </c>
      <c r="C580" s="54" t="s">
        <v>402</v>
      </c>
      <c r="D580" s="20">
        <f>D581</f>
        <v>24180.9</v>
      </c>
      <c r="F580" s="73"/>
      <c r="P580" s="72"/>
      <c r="Q580" s="72"/>
    </row>
    <row r="581" spans="1:17" ht="18.75" customHeight="1">
      <c r="A581" s="158" t="s">
        <v>471</v>
      </c>
      <c r="B581" s="17" t="s">
        <v>211</v>
      </c>
      <c r="C581" s="54" t="s">
        <v>1333</v>
      </c>
      <c r="D581" s="20">
        <f>22610.9+820+750</f>
        <v>24180.9</v>
      </c>
      <c r="F581" s="73"/>
      <c r="P581" s="72"/>
      <c r="Q581" s="72"/>
    </row>
    <row r="582" spans="1:17" ht="33.75" customHeight="1">
      <c r="A582" s="33" t="s">
        <v>315</v>
      </c>
      <c r="B582" s="17" t="s">
        <v>316</v>
      </c>
      <c r="C582" s="54"/>
      <c r="D582" s="20">
        <f>D583+D585+D587+D589</f>
        <v>101443.9</v>
      </c>
      <c r="F582" s="73"/>
      <c r="P582" s="72"/>
      <c r="Q582" s="72"/>
    </row>
    <row r="583" spans="1:17" ht="26.25" customHeight="1">
      <c r="A583" s="36" t="s">
        <v>805</v>
      </c>
      <c r="B583" s="17" t="s">
        <v>447</v>
      </c>
      <c r="C583" s="54" t="s">
        <v>402</v>
      </c>
      <c r="D583" s="20">
        <f>D584</f>
        <v>100355.9</v>
      </c>
      <c r="F583" s="73"/>
      <c r="P583" s="72"/>
      <c r="Q583" s="72"/>
    </row>
    <row r="584" spans="1:17" ht="18.75" customHeight="1">
      <c r="A584" s="158" t="s">
        <v>827</v>
      </c>
      <c r="B584" s="17" t="s">
        <v>447</v>
      </c>
      <c r="C584" s="54" t="s">
        <v>1333</v>
      </c>
      <c r="D584" s="20">
        <f>100355.9</f>
        <v>100355.9</v>
      </c>
      <c r="F584" s="73"/>
      <c r="P584" s="72"/>
      <c r="Q584" s="72"/>
    </row>
    <row r="585" spans="1:17" ht="15">
      <c r="A585" s="158" t="s">
        <v>1189</v>
      </c>
      <c r="B585" s="17" t="s">
        <v>446</v>
      </c>
      <c r="C585" s="54" t="s">
        <v>1190</v>
      </c>
      <c r="D585" s="20">
        <f>D586</f>
        <v>598</v>
      </c>
      <c r="F585" s="73"/>
      <c r="P585" s="72"/>
      <c r="Q585" s="72"/>
    </row>
    <row r="586" spans="1:17" ht="36">
      <c r="A586" s="18" t="s">
        <v>445</v>
      </c>
      <c r="B586" s="17" t="s">
        <v>446</v>
      </c>
      <c r="C586" s="54" t="s">
        <v>467</v>
      </c>
      <c r="D586" s="20">
        <f>598</f>
        <v>598</v>
      </c>
      <c r="F586" s="73"/>
      <c r="P586" s="72"/>
      <c r="Q586" s="72"/>
    </row>
    <row r="587" spans="1:17" ht="25.5" customHeight="1">
      <c r="A587" s="36" t="s">
        <v>805</v>
      </c>
      <c r="B587" s="17" t="s">
        <v>448</v>
      </c>
      <c r="C587" s="54" t="s">
        <v>402</v>
      </c>
      <c r="D587" s="20">
        <f>D588</f>
        <v>125</v>
      </c>
      <c r="F587" s="73"/>
      <c r="P587" s="72"/>
      <c r="Q587" s="72"/>
    </row>
    <row r="588" spans="1:17" ht="19.5" customHeight="1">
      <c r="A588" s="158" t="s">
        <v>827</v>
      </c>
      <c r="B588" s="17" t="s">
        <v>448</v>
      </c>
      <c r="C588" s="54" t="s">
        <v>1333</v>
      </c>
      <c r="D588" s="20">
        <f>125</f>
        <v>125</v>
      </c>
      <c r="F588" s="73"/>
      <c r="P588" s="72"/>
      <c r="Q588" s="72"/>
    </row>
    <row r="589" spans="1:17" ht="26.25" customHeight="1">
      <c r="A589" s="36" t="s">
        <v>805</v>
      </c>
      <c r="B589" s="17" t="s">
        <v>1423</v>
      </c>
      <c r="C589" s="54" t="s">
        <v>402</v>
      </c>
      <c r="D589" s="20">
        <f>D590</f>
        <v>365</v>
      </c>
      <c r="F589" s="73"/>
      <c r="P589" s="72"/>
      <c r="Q589" s="72"/>
    </row>
    <row r="590" spans="1:17" ht="18.75" customHeight="1">
      <c r="A590" s="158" t="s">
        <v>471</v>
      </c>
      <c r="B590" s="17" t="s">
        <v>1423</v>
      </c>
      <c r="C590" s="54" t="s">
        <v>1333</v>
      </c>
      <c r="D590" s="20">
        <f>365</f>
        <v>365</v>
      </c>
      <c r="F590" s="73"/>
      <c r="P590" s="72"/>
      <c r="Q590" s="72"/>
    </row>
    <row r="591" spans="1:17" ht="30.75" customHeight="1">
      <c r="A591" s="215" t="s">
        <v>22</v>
      </c>
      <c r="B591" s="239" t="s">
        <v>145</v>
      </c>
      <c r="C591" s="216"/>
      <c r="D591" s="201">
        <f>D592</f>
        <v>12142</v>
      </c>
      <c r="F591" s="73"/>
      <c r="P591" s="72"/>
      <c r="Q591" s="72"/>
    </row>
    <row r="592" spans="1:17" ht="39" customHeight="1">
      <c r="A592" s="33" t="s">
        <v>1421</v>
      </c>
      <c r="B592" s="17" t="s">
        <v>146</v>
      </c>
      <c r="C592" s="17"/>
      <c r="D592" s="20">
        <f>D594</f>
        <v>12142</v>
      </c>
      <c r="F592" s="73"/>
      <c r="P592" s="72"/>
      <c r="Q592" s="72"/>
    </row>
    <row r="593" spans="1:17" ht="27.75" customHeight="1">
      <c r="A593" s="36" t="s">
        <v>803</v>
      </c>
      <c r="B593" s="17" t="s">
        <v>1091</v>
      </c>
      <c r="C593" s="17" t="s">
        <v>641</v>
      </c>
      <c r="D593" s="20">
        <f>D594</f>
        <v>12142</v>
      </c>
      <c r="F593" s="73"/>
      <c r="P593" s="72"/>
      <c r="Q593" s="72"/>
    </row>
    <row r="594" spans="1:17" ht="15">
      <c r="A594" s="18" t="s">
        <v>418</v>
      </c>
      <c r="B594" s="17" t="s">
        <v>1091</v>
      </c>
      <c r="C594" s="17" t="s">
        <v>419</v>
      </c>
      <c r="D594" s="80">
        <f>12142</f>
        <v>12142</v>
      </c>
      <c r="F594" s="73"/>
      <c r="P594" s="72"/>
      <c r="Q594" s="72"/>
    </row>
    <row r="595" spans="1:17" ht="21" customHeight="1">
      <c r="A595" s="218" t="s">
        <v>8</v>
      </c>
      <c r="B595" s="217"/>
      <c r="C595" s="217"/>
      <c r="D595" s="201">
        <f>D16+D56+D108+D229+D317+D330+D340+D347+D371+D395+D433+D444+D567+D573+D591</f>
        <v>5040102.6000000015</v>
      </c>
      <c r="F595" s="73"/>
      <c r="P595" s="72"/>
      <c r="Q595" s="72"/>
    </row>
    <row r="596" spans="1:17" ht="15">
      <c r="A596" s="219" t="s">
        <v>1218</v>
      </c>
      <c r="B596" s="54"/>
      <c r="C596" s="54"/>
      <c r="D596" s="20"/>
      <c r="F596" s="73"/>
      <c r="P596" s="72"/>
      <c r="Q596" s="72"/>
    </row>
    <row r="597" spans="1:17" ht="15" hidden="1">
      <c r="A597" s="162" t="s">
        <v>405</v>
      </c>
      <c r="B597" s="17" t="s">
        <v>1132</v>
      </c>
      <c r="C597" s="17" t="s">
        <v>406</v>
      </c>
      <c r="D597" s="20">
        <f>D598</f>
        <v>0</v>
      </c>
      <c r="F597" s="73"/>
      <c r="P597" s="72"/>
      <c r="Q597" s="72"/>
    </row>
    <row r="598" spans="1:17" ht="24" hidden="1">
      <c r="A598" s="18" t="s">
        <v>873</v>
      </c>
      <c r="B598" s="17" t="s">
        <v>1132</v>
      </c>
      <c r="C598" s="17" t="s">
        <v>1015</v>
      </c>
      <c r="D598" s="20"/>
      <c r="F598" s="73"/>
      <c r="P598" s="72"/>
      <c r="Q598" s="72"/>
    </row>
    <row r="599" spans="1:17" ht="20.25" customHeight="1" hidden="1">
      <c r="A599" s="162" t="s">
        <v>405</v>
      </c>
      <c r="B599" s="54" t="s">
        <v>1131</v>
      </c>
      <c r="C599" s="54" t="s">
        <v>406</v>
      </c>
      <c r="D599" s="20">
        <f>D600</f>
        <v>0</v>
      </c>
      <c r="F599" s="73"/>
      <c r="P599" s="72"/>
      <c r="Q599" s="72"/>
    </row>
    <row r="600" spans="1:17" ht="21" customHeight="1" hidden="1">
      <c r="A600" s="18" t="s">
        <v>873</v>
      </c>
      <c r="B600" s="54" t="s">
        <v>1131</v>
      </c>
      <c r="C600" s="54" t="s">
        <v>1015</v>
      </c>
      <c r="D600" s="20"/>
      <c r="F600" s="73"/>
      <c r="P600" s="72"/>
      <c r="Q600" s="72"/>
    </row>
    <row r="601" spans="1:17" ht="24" hidden="1">
      <c r="A601" s="32" t="s">
        <v>265</v>
      </c>
      <c r="B601" s="17" t="s">
        <v>780</v>
      </c>
      <c r="C601" s="17"/>
      <c r="D601" s="20">
        <f>D603+D605</f>
        <v>0</v>
      </c>
      <c r="F601" s="73"/>
      <c r="P601" s="72"/>
      <c r="Q601" s="72"/>
    </row>
    <row r="602" spans="1:17" ht="15" hidden="1">
      <c r="A602" s="36" t="s">
        <v>636</v>
      </c>
      <c r="B602" s="17" t="s">
        <v>780</v>
      </c>
      <c r="C602" s="17" t="s">
        <v>313</v>
      </c>
      <c r="D602" s="20">
        <f>D603</f>
        <v>0</v>
      </c>
      <c r="F602" s="73"/>
      <c r="P602" s="72"/>
      <c r="Q602" s="72"/>
    </row>
    <row r="603" spans="1:17" ht="15" hidden="1">
      <c r="A603" s="18" t="s">
        <v>1047</v>
      </c>
      <c r="B603" s="17" t="s">
        <v>780</v>
      </c>
      <c r="C603" s="17" t="s">
        <v>1092</v>
      </c>
      <c r="D603" s="312">
        <f>5036.3-5036.3</f>
        <v>0</v>
      </c>
      <c r="F603" s="73"/>
      <c r="P603" s="72"/>
      <c r="Q603" s="72"/>
    </row>
    <row r="604" spans="1:17" ht="15.75" customHeight="1" hidden="1">
      <c r="A604" s="158" t="s">
        <v>1189</v>
      </c>
      <c r="B604" s="17" t="s">
        <v>780</v>
      </c>
      <c r="C604" s="17" t="s">
        <v>1190</v>
      </c>
      <c r="D604" s="20">
        <f>D605</f>
        <v>0</v>
      </c>
      <c r="F604" s="73"/>
      <c r="P604" s="72"/>
      <c r="Q604" s="72"/>
    </row>
    <row r="605" spans="1:17" ht="39" customHeight="1" hidden="1">
      <c r="A605" s="18" t="s">
        <v>878</v>
      </c>
      <c r="B605" s="17" t="s">
        <v>780</v>
      </c>
      <c r="C605" s="17" t="s">
        <v>1042</v>
      </c>
      <c r="D605" s="20">
        <f>111371-111371</f>
        <v>0</v>
      </c>
      <c r="F605" s="73"/>
      <c r="P605" s="72"/>
      <c r="Q605" s="72"/>
    </row>
    <row r="606" spans="1:17" ht="21" customHeight="1">
      <c r="A606" s="18" t="s">
        <v>1033</v>
      </c>
      <c r="B606" s="17" t="s">
        <v>650</v>
      </c>
      <c r="C606" s="17" t="s">
        <v>637</v>
      </c>
      <c r="D606" s="20">
        <f>D607</f>
        <v>130984</v>
      </c>
      <c r="F606" s="73"/>
      <c r="P606" s="72"/>
      <c r="Q606" s="72"/>
    </row>
    <row r="607" spans="1:17" ht="15">
      <c r="A607" s="36" t="s">
        <v>1034</v>
      </c>
      <c r="B607" s="17" t="s">
        <v>650</v>
      </c>
      <c r="C607" s="54" t="s">
        <v>638</v>
      </c>
      <c r="D607" s="20">
        <f>130984</f>
        <v>130984</v>
      </c>
      <c r="F607" s="73"/>
      <c r="P607" s="72"/>
      <c r="Q607" s="72"/>
    </row>
    <row r="608" spans="1:17" ht="18.75" customHeight="1">
      <c r="A608" s="36" t="s">
        <v>282</v>
      </c>
      <c r="B608" s="17" t="s">
        <v>1227</v>
      </c>
      <c r="C608" s="54"/>
      <c r="D608" s="20">
        <f>D609+D611</f>
        <v>10681</v>
      </c>
      <c r="F608" s="73"/>
      <c r="P608" s="72"/>
      <c r="Q608" s="72"/>
    </row>
    <row r="609" spans="1:17" ht="26.25" customHeight="1">
      <c r="A609" s="36" t="s">
        <v>805</v>
      </c>
      <c r="B609" s="17" t="s">
        <v>1227</v>
      </c>
      <c r="C609" s="54" t="s">
        <v>402</v>
      </c>
      <c r="D609" s="20">
        <f>D610</f>
        <v>5856</v>
      </c>
      <c r="F609" s="73"/>
      <c r="P609" s="72"/>
      <c r="Q609" s="72"/>
    </row>
    <row r="610" spans="1:17" ht="18.75" customHeight="1">
      <c r="A610" s="158" t="s">
        <v>471</v>
      </c>
      <c r="B610" s="17" t="s">
        <v>1227</v>
      </c>
      <c r="C610" s="54" t="s">
        <v>1333</v>
      </c>
      <c r="D610" s="20">
        <f>3550+822+1484</f>
        <v>5856</v>
      </c>
      <c r="F610" s="73"/>
      <c r="P610" s="72"/>
      <c r="Q610" s="72"/>
    </row>
    <row r="611" spans="1:17" ht="26.25" customHeight="1">
      <c r="A611" s="36" t="s">
        <v>803</v>
      </c>
      <c r="B611" s="17" t="s">
        <v>1227</v>
      </c>
      <c r="C611" s="54" t="s">
        <v>641</v>
      </c>
      <c r="D611" s="20">
        <f>D612+D613</f>
        <v>4825</v>
      </c>
      <c r="F611" s="73"/>
      <c r="P611" s="72"/>
      <c r="Q611" s="72"/>
    </row>
    <row r="612" spans="1:17" ht="15">
      <c r="A612" s="18" t="s">
        <v>418</v>
      </c>
      <c r="B612" s="17" t="s">
        <v>1227</v>
      </c>
      <c r="C612" s="54" t="s">
        <v>419</v>
      </c>
      <c r="D612" s="20">
        <f>100+700+1400+1000+550+200+75</f>
        <v>4025</v>
      </c>
      <c r="F612" s="73"/>
      <c r="P612" s="72"/>
      <c r="Q612" s="72"/>
    </row>
    <row r="613" spans="1:17" ht="15">
      <c r="A613" s="18" t="s">
        <v>243</v>
      </c>
      <c r="B613" s="17" t="s">
        <v>1227</v>
      </c>
      <c r="C613" s="54" t="s">
        <v>244</v>
      </c>
      <c r="D613" s="20">
        <f>800</f>
        <v>800</v>
      </c>
      <c r="F613" s="73"/>
      <c r="P613" s="72"/>
      <c r="Q613" s="72"/>
    </row>
    <row r="614" spans="1:17" ht="15" customHeight="1">
      <c r="A614" s="158" t="s">
        <v>1189</v>
      </c>
      <c r="B614" s="17" t="s">
        <v>481</v>
      </c>
      <c r="C614" s="54" t="s">
        <v>1190</v>
      </c>
      <c r="D614" s="20">
        <f>D615</f>
        <v>3793.8</v>
      </c>
      <c r="F614" s="73"/>
      <c r="P614" s="72"/>
      <c r="Q614" s="72"/>
    </row>
    <row r="615" spans="1:17" ht="15">
      <c r="A615" s="36" t="s">
        <v>231</v>
      </c>
      <c r="B615" s="17" t="s">
        <v>481</v>
      </c>
      <c r="C615" s="17" t="s">
        <v>232</v>
      </c>
      <c r="D615" s="20">
        <f>4647.8-854</f>
        <v>3793.8</v>
      </c>
      <c r="F615" s="73"/>
      <c r="P615" s="72"/>
      <c r="Q615" s="72"/>
    </row>
    <row r="616" spans="1:17" ht="17.25" customHeight="1">
      <c r="A616" s="67" t="s">
        <v>1205</v>
      </c>
      <c r="B616" s="54"/>
      <c r="C616" s="54"/>
      <c r="D616" s="200">
        <f>D597+D599+D601+D606+D608+D614</f>
        <v>145458.8</v>
      </c>
      <c r="F616" s="73"/>
      <c r="P616" s="72"/>
      <c r="Q616" s="72"/>
    </row>
    <row r="617" spans="1:17" ht="21.75" customHeight="1">
      <c r="A617" s="206" t="s">
        <v>1038</v>
      </c>
      <c r="B617" s="248"/>
      <c r="C617" s="248"/>
      <c r="D617" s="200">
        <f>D595+D616</f>
        <v>5185561.400000001</v>
      </c>
      <c r="F617" s="77"/>
      <c r="G617" s="77"/>
      <c r="P617" s="72"/>
      <c r="Q617" s="72"/>
    </row>
    <row r="618" spans="1:17" ht="15">
      <c r="A618" s="204"/>
      <c r="B618" s="248"/>
      <c r="C618" s="248"/>
      <c r="D618" s="205"/>
      <c r="F618" s="73"/>
      <c r="P618" s="72"/>
      <c r="Q618" s="72"/>
    </row>
    <row r="619" spans="1:17" ht="15">
      <c r="A619" s="204"/>
      <c r="B619" s="248"/>
      <c r="C619" s="248"/>
      <c r="D619" s="55"/>
      <c r="F619" s="73"/>
      <c r="P619" s="72"/>
      <c r="Q619" s="72"/>
    </row>
    <row r="620" spans="1:17" ht="15">
      <c r="A620" s="204"/>
      <c r="B620" s="248"/>
      <c r="C620" s="248"/>
      <c r="D620" s="230"/>
      <c r="F620" s="73"/>
      <c r="P620" s="72"/>
      <c r="Q620" s="72"/>
    </row>
    <row r="621" spans="1:17" ht="15">
      <c r="A621" s="204"/>
      <c r="B621" s="248"/>
      <c r="C621" s="248"/>
      <c r="D621" s="55"/>
      <c r="F621" s="73"/>
      <c r="P621" s="72"/>
      <c r="Q621" s="72"/>
    </row>
    <row r="622" spans="1:17" ht="15">
      <c r="A622" s="204"/>
      <c r="B622" s="248"/>
      <c r="C622" s="248"/>
      <c r="D622" s="205"/>
      <c r="F622" s="73"/>
      <c r="P622" s="72"/>
      <c r="Q622" s="72"/>
    </row>
    <row r="623" spans="1:17" ht="15">
      <c r="A623" s="204"/>
      <c r="B623" s="248"/>
      <c r="C623" s="248"/>
      <c r="D623" s="205"/>
      <c r="F623" s="73"/>
      <c r="P623" s="72"/>
      <c r="Q623" s="72"/>
    </row>
  </sheetData>
  <sheetProtection/>
  <mergeCells count="2">
    <mergeCell ref="A10:D13"/>
    <mergeCell ref="A9:D9"/>
  </mergeCells>
  <printOptions/>
  <pageMargins left="0.75" right="0.75" top="1" bottom="1" header="0.5" footer="0.5"/>
  <pageSetup firstPageNumber="82" useFirstPageNumber="1" horizontalDpi="600" verticalDpi="600" orientation="portrait" paperSize="9" scale="98"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C98"/>
  <sheetViews>
    <sheetView showGridLines="0" showZeros="0" view="pageBreakPreview" zoomScaleSheetLayoutView="100" workbookViewId="0" topLeftCell="A8">
      <selection activeCell="C18" sqref="C18"/>
    </sheetView>
  </sheetViews>
  <sheetFormatPr defaultColWidth="38.50390625" defaultRowHeight="12.75"/>
  <cols>
    <col min="1" max="1" width="24.50390625" style="41" customWidth="1"/>
    <col min="2" max="2" width="52.50390625" style="41" customWidth="1"/>
    <col min="3" max="3" width="23.50390625" style="88" customWidth="1"/>
    <col min="4" max="16384" width="38.50390625" style="41" customWidth="1"/>
  </cols>
  <sheetData>
    <row r="1" ht="12.75" hidden="1">
      <c r="C1" s="164"/>
    </row>
    <row r="2" ht="12.75" hidden="1">
      <c r="C2" s="70"/>
    </row>
    <row r="3" ht="12.75" hidden="1">
      <c r="C3" s="87"/>
    </row>
    <row r="4" ht="12.75" hidden="1">
      <c r="C4" s="87"/>
    </row>
    <row r="5" ht="12.75" hidden="1">
      <c r="C5" s="70" t="s">
        <v>30</v>
      </c>
    </row>
    <row r="6" ht="12.75" hidden="1">
      <c r="C6" s="70" t="s">
        <v>866</v>
      </c>
    </row>
    <row r="7" ht="12.75" hidden="1">
      <c r="C7" s="87" t="s">
        <v>530</v>
      </c>
    </row>
    <row r="8" ht="12" customHeight="1">
      <c r="B8" s="165"/>
    </row>
    <row r="9" spans="2:3" ht="12.75" hidden="1">
      <c r="B9" s="166"/>
      <c r="C9" s="10"/>
    </row>
    <row r="10" spans="2:3" ht="12.75" hidden="1">
      <c r="B10" s="166"/>
      <c r="C10" s="10"/>
    </row>
    <row r="11" spans="2:3" ht="12.75" hidden="1">
      <c r="B11" s="167"/>
      <c r="C11" s="103"/>
    </row>
    <row r="12" spans="2:3" ht="12.75">
      <c r="B12" s="167"/>
      <c r="C12" s="10" t="s">
        <v>855</v>
      </c>
    </row>
    <row r="13" spans="2:3" ht="12.75">
      <c r="B13" s="167"/>
      <c r="C13" s="10" t="s">
        <v>866</v>
      </c>
    </row>
    <row r="14" spans="2:3" ht="12.75">
      <c r="B14" s="167"/>
      <c r="C14" s="103" t="s">
        <v>1530</v>
      </c>
    </row>
    <row r="15" spans="2:3" ht="12.75">
      <c r="B15" s="165"/>
      <c r="C15" s="127"/>
    </row>
    <row r="16" spans="2:3" ht="12.75">
      <c r="B16" s="166"/>
      <c r="C16" s="10" t="s">
        <v>613</v>
      </c>
    </row>
    <row r="17" spans="2:3" ht="12.75">
      <c r="B17" s="166"/>
      <c r="C17" s="10" t="s">
        <v>866</v>
      </c>
    </row>
    <row r="18" spans="2:3" ht="12.75">
      <c r="B18" s="213"/>
      <c r="C18" s="103" t="s">
        <v>790</v>
      </c>
    </row>
    <row r="19" spans="1:2" ht="12.75">
      <c r="A19" s="3"/>
      <c r="B19" s="6"/>
    </row>
    <row r="20" spans="1:3" ht="15.75">
      <c r="A20" s="344" t="s">
        <v>331</v>
      </c>
      <c r="B20" s="344"/>
      <c r="C20" s="344"/>
    </row>
    <row r="21" spans="1:3" ht="15.75">
      <c r="A21" s="344" t="s">
        <v>205</v>
      </c>
      <c r="B21" s="344"/>
      <c r="C21" s="344"/>
    </row>
    <row r="22" spans="1:3" ht="12.75">
      <c r="A22" s="133"/>
      <c r="C22" s="102" t="s">
        <v>867</v>
      </c>
    </row>
    <row r="23" spans="1:3" ht="51">
      <c r="A23" s="134" t="s">
        <v>1223</v>
      </c>
      <c r="B23" s="131" t="s">
        <v>9</v>
      </c>
      <c r="C23" s="135" t="s">
        <v>787</v>
      </c>
    </row>
    <row r="24" spans="1:3" ht="18.75" customHeight="1">
      <c r="A24" s="345" t="s">
        <v>239</v>
      </c>
      <c r="B24" s="346"/>
      <c r="C24" s="139">
        <f>'Прил.1 Доходы 2014'!C229-'Прил. 2 Функциональная 2014'!F18</f>
        <v>-421943.6296100011</v>
      </c>
    </row>
    <row r="25" spans="1:3" ht="18.75" customHeight="1">
      <c r="A25" s="347" t="s">
        <v>1107</v>
      </c>
      <c r="B25" s="348"/>
      <c r="C25" s="140">
        <f>(-C24-C67-C42)/'Прил.1 Доходы 2014'!C19*100</f>
        <v>0</v>
      </c>
    </row>
    <row r="26" spans="1:3" ht="18" customHeight="1">
      <c r="A26" s="342" t="s">
        <v>1389</v>
      </c>
      <c r="B26" s="343"/>
      <c r="C26" s="141">
        <f>C27+C32+C37+C42+C64</f>
        <v>421943.6296100011</v>
      </c>
    </row>
    <row r="27" spans="1:3" ht="27" customHeight="1" hidden="1">
      <c r="A27" s="142" t="s">
        <v>190</v>
      </c>
      <c r="B27" s="110" t="s">
        <v>858</v>
      </c>
      <c r="C27" s="145">
        <f>C28-C30</f>
        <v>0</v>
      </c>
    </row>
    <row r="28" spans="1:3" ht="40.5" customHeight="1" hidden="1">
      <c r="A28" s="144" t="s">
        <v>859</v>
      </c>
      <c r="B28" s="111" t="s">
        <v>1458</v>
      </c>
      <c r="C28" s="145">
        <f>C29</f>
        <v>0</v>
      </c>
    </row>
    <row r="29" spans="1:3" ht="39.75" customHeight="1" hidden="1">
      <c r="A29" s="144" t="s">
        <v>1459</v>
      </c>
      <c r="B29" s="112" t="s">
        <v>1285</v>
      </c>
      <c r="C29" s="146"/>
    </row>
    <row r="30" spans="1:3" ht="38.25" customHeight="1" hidden="1">
      <c r="A30" s="144" t="s">
        <v>1286</v>
      </c>
      <c r="B30" s="117" t="s">
        <v>287</v>
      </c>
      <c r="C30" s="143">
        <f>C31</f>
        <v>0</v>
      </c>
    </row>
    <row r="31" spans="1:3" ht="36.75" customHeight="1" hidden="1">
      <c r="A31" s="144" t="s">
        <v>288</v>
      </c>
      <c r="B31" s="113" t="s">
        <v>1390</v>
      </c>
      <c r="C31" s="147"/>
    </row>
    <row r="32" spans="1:3" ht="27" customHeight="1" hidden="1">
      <c r="A32" s="142" t="s">
        <v>306</v>
      </c>
      <c r="B32" s="110" t="s">
        <v>469</v>
      </c>
      <c r="C32" s="145">
        <f>C33-C36</f>
        <v>0</v>
      </c>
    </row>
    <row r="33" spans="1:3" ht="27.75" customHeight="1" hidden="1">
      <c r="A33" s="144" t="s">
        <v>475</v>
      </c>
      <c r="B33" s="111" t="s">
        <v>630</v>
      </c>
      <c r="C33" s="145">
        <f>C34</f>
        <v>0</v>
      </c>
    </row>
    <row r="34" spans="1:3" ht="26.25" hidden="1">
      <c r="A34" s="144" t="s">
        <v>476</v>
      </c>
      <c r="B34" s="112" t="s">
        <v>1319</v>
      </c>
      <c r="C34" s="146">
        <v>0</v>
      </c>
    </row>
    <row r="35" spans="1:3" ht="26.25" hidden="1">
      <c r="A35" s="144" t="s">
        <v>1320</v>
      </c>
      <c r="B35" s="117" t="s">
        <v>196</v>
      </c>
      <c r="C35" s="143">
        <f>C36</f>
        <v>0</v>
      </c>
    </row>
    <row r="36" spans="1:3" ht="26.25" hidden="1">
      <c r="A36" s="144" t="s">
        <v>468</v>
      </c>
      <c r="B36" s="113" t="s">
        <v>285</v>
      </c>
      <c r="C36" s="147">
        <v>0</v>
      </c>
    </row>
    <row r="37" spans="1:3" s="69" customFormat="1" ht="26.25" hidden="1">
      <c r="A37" s="148" t="s">
        <v>286</v>
      </c>
      <c r="B37" s="114" t="s">
        <v>631</v>
      </c>
      <c r="C37" s="143">
        <f>C38-C40</f>
        <v>0</v>
      </c>
    </row>
    <row r="38" spans="1:3" ht="39" hidden="1">
      <c r="A38" s="144" t="s">
        <v>1391</v>
      </c>
      <c r="B38" s="115" t="s">
        <v>1392</v>
      </c>
      <c r="C38" s="143">
        <f>C39</f>
        <v>0</v>
      </c>
    </row>
    <row r="39" spans="1:3" ht="39" hidden="1">
      <c r="A39" s="144" t="s">
        <v>1393</v>
      </c>
      <c r="B39" s="116" t="s">
        <v>194</v>
      </c>
      <c r="C39" s="147"/>
    </row>
    <row r="40" spans="1:3" ht="39" hidden="1">
      <c r="A40" s="144" t="s">
        <v>1394</v>
      </c>
      <c r="B40" s="117" t="s">
        <v>575</v>
      </c>
      <c r="C40" s="143">
        <f>C41</f>
        <v>0</v>
      </c>
    </row>
    <row r="41" spans="1:3" ht="39" hidden="1">
      <c r="A41" s="144" t="s">
        <v>1395</v>
      </c>
      <c r="B41" s="112" t="s">
        <v>361</v>
      </c>
      <c r="C41" s="147"/>
    </row>
    <row r="42" spans="1:3" s="69" customFormat="1" ht="25.5">
      <c r="A42" s="148" t="s">
        <v>362</v>
      </c>
      <c r="B42" s="110" t="s">
        <v>391</v>
      </c>
      <c r="C42" s="149">
        <f>C53+C59-C48-C43</f>
        <v>421529.6296100011</v>
      </c>
    </row>
    <row r="43" spans="1:3" ht="15" hidden="1">
      <c r="A43" s="150" t="s">
        <v>582</v>
      </c>
      <c r="B43" s="115" t="s">
        <v>583</v>
      </c>
      <c r="C43" s="149">
        <f>C44+C46</f>
        <v>0</v>
      </c>
    </row>
    <row r="44" spans="1:3" ht="26.25" hidden="1">
      <c r="A44" s="150" t="s">
        <v>584</v>
      </c>
      <c r="B44" s="116" t="s">
        <v>585</v>
      </c>
      <c r="C44" s="149">
        <f>C45</f>
        <v>0</v>
      </c>
    </row>
    <row r="45" spans="1:3" ht="27.75" customHeight="1" hidden="1">
      <c r="A45" s="150" t="s">
        <v>579</v>
      </c>
      <c r="B45" s="116" t="s">
        <v>580</v>
      </c>
      <c r="C45" s="151"/>
    </row>
    <row r="46" spans="1:3" ht="25.5" customHeight="1" hidden="1">
      <c r="A46" s="152" t="s">
        <v>581</v>
      </c>
      <c r="B46" s="116" t="s">
        <v>1172</v>
      </c>
      <c r="C46" s="149">
        <f>C47</f>
        <v>0</v>
      </c>
    </row>
    <row r="47" spans="1:3" ht="26.25" hidden="1">
      <c r="A47" s="152" t="s">
        <v>1173</v>
      </c>
      <c r="B47" s="116" t="s">
        <v>1367</v>
      </c>
      <c r="C47" s="149"/>
    </row>
    <row r="48" spans="1:3" ht="25.5">
      <c r="A48" s="152" t="s">
        <v>392</v>
      </c>
      <c r="B48" s="115" t="s">
        <v>912</v>
      </c>
      <c r="C48" s="149">
        <f>C49+C51</f>
        <v>4764031.77039</v>
      </c>
    </row>
    <row r="49" spans="1:3" ht="25.5">
      <c r="A49" s="152" t="s">
        <v>592</v>
      </c>
      <c r="B49" s="116" t="s">
        <v>50</v>
      </c>
      <c r="C49" s="149">
        <f>C50</f>
        <v>4764031.77039</v>
      </c>
    </row>
    <row r="50" spans="1:3" ht="25.5">
      <c r="A50" s="152" t="s">
        <v>593</v>
      </c>
      <c r="B50" s="116" t="s">
        <v>1368</v>
      </c>
      <c r="C50" s="146">
        <f>'Прил.1 Доходы 2014'!C229+'Прил. 5 Источники_2014'!C34+C64</f>
        <v>4764031.77039</v>
      </c>
    </row>
    <row r="51" spans="1:3" ht="26.25" hidden="1">
      <c r="A51" s="152" t="s">
        <v>1369</v>
      </c>
      <c r="B51" s="116" t="s">
        <v>1283</v>
      </c>
      <c r="C51" s="149">
        <f>C52</f>
        <v>0</v>
      </c>
    </row>
    <row r="52" spans="1:3" ht="27" customHeight="1" hidden="1">
      <c r="A52" s="152" t="s">
        <v>1284</v>
      </c>
      <c r="B52" s="116" t="s">
        <v>955</v>
      </c>
      <c r="C52" s="149"/>
    </row>
    <row r="53" spans="1:3" ht="15" hidden="1">
      <c r="A53" s="150" t="s">
        <v>956</v>
      </c>
      <c r="B53" s="115" t="s">
        <v>957</v>
      </c>
      <c r="C53" s="149"/>
    </row>
    <row r="54" spans="1:3" ht="15" hidden="1">
      <c r="A54" s="150" t="s">
        <v>498</v>
      </c>
      <c r="B54" s="116" t="s">
        <v>499</v>
      </c>
      <c r="C54" s="149">
        <f>C55+C57</f>
        <v>0</v>
      </c>
    </row>
    <row r="55" spans="1:3" ht="27.75" customHeight="1" hidden="1">
      <c r="A55" s="150" t="s">
        <v>500</v>
      </c>
      <c r="B55" s="116" t="s">
        <v>501</v>
      </c>
      <c r="C55" s="151">
        <f>C56</f>
        <v>0</v>
      </c>
    </row>
    <row r="56" spans="1:3" ht="25.5" customHeight="1" hidden="1">
      <c r="A56" s="150" t="s">
        <v>502</v>
      </c>
      <c r="B56" s="116" t="s">
        <v>503</v>
      </c>
      <c r="C56" s="149"/>
    </row>
    <row r="57" spans="1:3" ht="25.5" customHeight="1" hidden="1">
      <c r="A57" s="150" t="s">
        <v>504</v>
      </c>
      <c r="B57" s="116" t="s">
        <v>1155</v>
      </c>
      <c r="C57" s="149">
        <f>C58</f>
        <v>0</v>
      </c>
    </row>
    <row r="58" spans="1:3" ht="25.5" customHeight="1" hidden="1">
      <c r="A58" s="150" t="s">
        <v>1156</v>
      </c>
      <c r="B58" s="116" t="s">
        <v>1161</v>
      </c>
      <c r="C58" s="149"/>
    </row>
    <row r="59" spans="1:3" ht="25.5">
      <c r="A59" s="150" t="s">
        <v>594</v>
      </c>
      <c r="B59" s="115" t="s">
        <v>51</v>
      </c>
      <c r="C59" s="149">
        <f>C60+C62</f>
        <v>5185561.400000001</v>
      </c>
    </row>
    <row r="60" spans="1:3" ht="25.5">
      <c r="A60" s="150" t="s">
        <v>1329</v>
      </c>
      <c r="B60" s="116" t="s">
        <v>1162</v>
      </c>
      <c r="C60" s="149">
        <f>C61</f>
        <v>5185561.400000001</v>
      </c>
    </row>
    <row r="61" spans="1:3" ht="27.75" customHeight="1">
      <c r="A61" s="150" t="s">
        <v>909</v>
      </c>
      <c r="B61" s="116" t="s">
        <v>1163</v>
      </c>
      <c r="C61" s="146">
        <f>'Прил. 2 Функциональная 2014'!F18+'Прил. 5 Источники_2014'!C36</f>
        <v>5185561.400000001</v>
      </c>
    </row>
    <row r="62" spans="1:3" ht="27.75" customHeight="1" hidden="1">
      <c r="A62" s="150" t="s">
        <v>1164</v>
      </c>
      <c r="B62" s="116" t="s">
        <v>1165</v>
      </c>
      <c r="C62" s="151">
        <f>C63</f>
        <v>0</v>
      </c>
    </row>
    <row r="63" spans="1:3" ht="27.75" customHeight="1" hidden="1">
      <c r="A63" s="150" t="s">
        <v>1166</v>
      </c>
      <c r="B63" s="116" t="s">
        <v>1167</v>
      </c>
      <c r="C63" s="151"/>
    </row>
    <row r="64" spans="1:3" ht="25.5">
      <c r="A64" s="136" t="s">
        <v>910</v>
      </c>
      <c r="B64" s="137" t="s">
        <v>347</v>
      </c>
      <c r="C64" s="138">
        <f>C67</f>
        <v>414</v>
      </c>
    </row>
    <row r="65" spans="1:3" ht="39" hidden="1">
      <c r="A65" s="209" t="s">
        <v>1168</v>
      </c>
      <c r="B65" s="210" t="s">
        <v>1169</v>
      </c>
      <c r="C65" s="138"/>
    </row>
    <row r="66" spans="1:3" ht="39" hidden="1">
      <c r="A66" s="209" t="s">
        <v>1193</v>
      </c>
      <c r="B66" s="210" t="s">
        <v>1194</v>
      </c>
      <c r="C66" s="138"/>
    </row>
    <row r="67" spans="1:3" ht="38.25">
      <c r="A67" s="120" t="s">
        <v>1322</v>
      </c>
      <c r="B67" s="114" t="s">
        <v>1323</v>
      </c>
      <c r="C67" s="89">
        <f>C68</f>
        <v>414</v>
      </c>
    </row>
    <row r="68" spans="1:3" ht="38.25">
      <c r="A68" s="119" t="s">
        <v>657</v>
      </c>
      <c r="B68" s="115" t="s">
        <v>511</v>
      </c>
      <c r="C68" s="89">
        <f>C69</f>
        <v>414</v>
      </c>
    </row>
    <row r="69" spans="1:3" ht="25.5">
      <c r="A69" s="119" t="s">
        <v>1195</v>
      </c>
      <c r="B69" s="121" t="s">
        <v>512</v>
      </c>
      <c r="C69" s="90">
        <v>414</v>
      </c>
    </row>
    <row r="70" spans="1:3" ht="15" hidden="1">
      <c r="A70" s="120" t="s">
        <v>396</v>
      </c>
      <c r="B70" s="114" t="s">
        <v>1196</v>
      </c>
      <c r="C70" s="89">
        <f>C71</f>
        <v>0</v>
      </c>
    </row>
    <row r="71" spans="1:3" ht="26.25" hidden="1">
      <c r="A71" s="119" t="s">
        <v>1010</v>
      </c>
      <c r="B71" s="115" t="s">
        <v>591</v>
      </c>
      <c r="C71" s="89">
        <f>C72</f>
        <v>0</v>
      </c>
    </row>
    <row r="72" spans="1:3" ht="81" customHeight="1" hidden="1">
      <c r="A72" s="118" t="s">
        <v>1011</v>
      </c>
      <c r="B72" s="116" t="s">
        <v>1012</v>
      </c>
      <c r="C72" s="89">
        <f>C73</f>
        <v>0</v>
      </c>
    </row>
    <row r="73" spans="1:3" ht="78.75" hidden="1">
      <c r="A73" s="118" t="s">
        <v>1013</v>
      </c>
      <c r="B73" s="116" t="s">
        <v>1198</v>
      </c>
      <c r="C73" s="90"/>
    </row>
    <row r="74" spans="1:3" s="69" customFormat="1" ht="26.25" hidden="1">
      <c r="A74" s="109" t="s">
        <v>185</v>
      </c>
      <c r="B74" s="122" t="s">
        <v>1045</v>
      </c>
      <c r="C74" s="91">
        <f>C75-C77</f>
        <v>0</v>
      </c>
    </row>
    <row r="75" spans="1:3" ht="26.25" hidden="1">
      <c r="A75" s="118" t="s">
        <v>1046</v>
      </c>
      <c r="B75" s="123" t="s">
        <v>1157</v>
      </c>
      <c r="C75" s="211">
        <f>C76</f>
        <v>0</v>
      </c>
    </row>
    <row r="76" spans="1:3" ht="39" hidden="1">
      <c r="A76" s="118" t="s">
        <v>801</v>
      </c>
      <c r="B76" s="124" t="s">
        <v>1158</v>
      </c>
      <c r="C76" s="212"/>
    </row>
    <row r="77" spans="1:3" ht="26.25" hidden="1">
      <c r="A77" s="118" t="s">
        <v>802</v>
      </c>
      <c r="B77" s="123" t="s">
        <v>165</v>
      </c>
      <c r="C77" s="212">
        <f>C78</f>
        <v>0</v>
      </c>
    </row>
    <row r="78" spans="1:3" ht="27" customHeight="1" hidden="1">
      <c r="A78" s="118" t="s">
        <v>164</v>
      </c>
      <c r="B78" s="124" t="s">
        <v>1199</v>
      </c>
      <c r="C78" s="212"/>
    </row>
    <row r="79" spans="1:3" ht="26.25" hidden="1">
      <c r="A79" s="109" t="s">
        <v>1345</v>
      </c>
      <c r="B79" s="125" t="s">
        <v>1151</v>
      </c>
      <c r="C79" s="71"/>
    </row>
    <row r="80" spans="1:3" ht="25.5" customHeight="1" hidden="1">
      <c r="A80" s="118" t="s">
        <v>1200</v>
      </c>
      <c r="B80" s="115" t="s">
        <v>1201</v>
      </c>
      <c r="C80" s="71"/>
    </row>
    <row r="81" spans="1:3" ht="26.25" hidden="1">
      <c r="A81" s="118" t="s">
        <v>272</v>
      </c>
      <c r="B81" s="116" t="s">
        <v>1364</v>
      </c>
      <c r="C81" s="71"/>
    </row>
    <row r="82" spans="1:3" ht="26.25" hidden="1">
      <c r="A82" s="118" t="s">
        <v>1365</v>
      </c>
      <c r="B82" s="116" t="s">
        <v>1364</v>
      </c>
      <c r="C82" s="71"/>
    </row>
    <row r="83" spans="1:3" ht="26.25" hidden="1">
      <c r="A83" s="118" t="s">
        <v>1366</v>
      </c>
      <c r="B83" s="115" t="s">
        <v>325</v>
      </c>
      <c r="C83" s="71"/>
    </row>
    <row r="84" spans="1:3" ht="26.25" hidden="1">
      <c r="A84" s="118" t="s">
        <v>624</v>
      </c>
      <c r="B84" s="116" t="s">
        <v>625</v>
      </c>
      <c r="C84" s="92"/>
    </row>
    <row r="85" spans="1:3" ht="26.25" hidden="1">
      <c r="A85" s="118" t="s">
        <v>626</v>
      </c>
      <c r="B85" s="116" t="s">
        <v>625</v>
      </c>
      <c r="C85" s="92"/>
    </row>
    <row r="86" spans="1:3" ht="26.25" hidden="1">
      <c r="A86" s="118" t="s">
        <v>931</v>
      </c>
      <c r="B86" s="116" t="s">
        <v>11</v>
      </c>
      <c r="C86" s="92"/>
    </row>
    <row r="87" spans="1:3" ht="26.25" hidden="1">
      <c r="A87" s="118" t="s">
        <v>12</v>
      </c>
      <c r="B87" s="116" t="s">
        <v>627</v>
      </c>
      <c r="C87" s="92"/>
    </row>
    <row r="88" spans="1:3" ht="26.25" hidden="1">
      <c r="A88" s="118" t="s">
        <v>807</v>
      </c>
      <c r="B88" s="116" t="s">
        <v>1106</v>
      </c>
      <c r="C88" s="92"/>
    </row>
    <row r="89" spans="1:3" ht="29.25" customHeight="1" hidden="1">
      <c r="A89" s="118" t="s">
        <v>872</v>
      </c>
      <c r="B89" s="116" t="s">
        <v>849</v>
      </c>
      <c r="C89" s="92"/>
    </row>
    <row r="90" spans="1:3" ht="26.25" hidden="1">
      <c r="A90" s="118" t="s">
        <v>850</v>
      </c>
      <c r="B90" s="115" t="s">
        <v>851</v>
      </c>
      <c r="C90" s="92"/>
    </row>
    <row r="91" spans="1:3" ht="66" hidden="1">
      <c r="A91" s="118" t="s">
        <v>852</v>
      </c>
      <c r="B91" s="116" t="s">
        <v>1007</v>
      </c>
      <c r="C91" s="92"/>
    </row>
    <row r="92" spans="1:2" ht="78.75" hidden="1">
      <c r="A92" s="118" t="s">
        <v>886</v>
      </c>
      <c r="B92" s="116" t="s">
        <v>1097</v>
      </c>
    </row>
    <row r="93" spans="1:3" ht="39" hidden="1">
      <c r="A93" s="118" t="s">
        <v>1098</v>
      </c>
      <c r="B93" s="116" t="s">
        <v>1099</v>
      </c>
      <c r="C93" s="88">
        <f>C94</f>
        <v>0</v>
      </c>
    </row>
    <row r="94" spans="1:2" ht="52.5" hidden="1">
      <c r="A94" s="118" t="s">
        <v>1100</v>
      </c>
      <c r="B94" s="116" t="s">
        <v>792</v>
      </c>
    </row>
    <row r="95" spans="1:3" ht="66" hidden="1">
      <c r="A95" s="118" t="s">
        <v>793</v>
      </c>
      <c r="B95" s="116" t="s">
        <v>1094</v>
      </c>
      <c r="C95" s="88">
        <f>C96</f>
        <v>0</v>
      </c>
    </row>
    <row r="96" spans="1:2" ht="78.75" hidden="1">
      <c r="A96" s="118" t="s">
        <v>1095</v>
      </c>
      <c r="B96" s="116" t="s">
        <v>659</v>
      </c>
    </row>
    <row r="97" spans="1:2" ht="39" hidden="1">
      <c r="A97" s="118" t="s">
        <v>660</v>
      </c>
      <c r="B97" s="116" t="s">
        <v>661</v>
      </c>
    </row>
    <row r="98" spans="1:2" ht="52.5" hidden="1">
      <c r="A98" s="118" t="s">
        <v>662</v>
      </c>
      <c r="B98" s="116" t="s">
        <v>629</v>
      </c>
    </row>
  </sheetData>
  <sheetProtection selectLockedCells="1" selectUnlockedCells="1"/>
  <mergeCells count="5">
    <mergeCell ref="A26:B26"/>
    <mergeCell ref="A20:C20"/>
    <mergeCell ref="A21:C21"/>
    <mergeCell ref="A24:B24"/>
    <mergeCell ref="A25:B25"/>
  </mergeCells>
  <printOptions/>
  <pageMargins left="0.7480314960629921" right="0.3937007874015748" top="0.6299212598425197" bottom="0.7086614173228347" header="0.5118110236220472" footer="0.5118110236220472"/>
  <pageSetup firstPageNumber="100" useFirstPageNumber="1" fitToHeight="1" fitToWidth="1" horizontalDpi="600" verticalDpi="600" orientation="portrait" paperSize="9" scale="92" r:id="rId3"/>
  <headerFooter alignWithMargins="0">
    <oddFooter>&amp;R&amp;P</oddFooter>
  </headerFooter>
  <rowBreaks count="1" manualBreakCount="1">
    <brk id="75" max="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Байраков Сергей Николаевич</dc:creator>
  <cp:keywords/>
  <dc:description/>
  <cp:lastModifiedBy>Коняева Л.А.</cp:lastModifiedBy>
  <cp:lastPrinted>2014-12-11T13:29:18Z</cp:lastPrinted>
  <dcterms:created xsi:type="dcterms:W3CDTF">2002-07-15T12:30:47Z</dcterms:created>
  <dcterms:modified xsi:type="dcterms:W3CDTF">2014-12-17T08:21:13Z</dcterms:modified>
  <cp:category/>
  <cp:version/>
  <cp:contentType/>
  <cp:contentStatus/>
</cp:coreProperties>
</file>